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233" documentId="8_{E3547D23-76AC-4136-A649-4BAE57ECAC9F}" xr6:coauthVersionLast="47" xr6:coauthVersionMax="47" xr10:uidLastSave="{028885B6-7709-4306-B38D-D55A85BD9498}"/>
  <bookViews>
    <workbookView xWindow="-120" yWindow="-120" windowWidth="29040" windowHeight="1584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4" r:id="rId7"/>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2" l="1"/>
  <c r="D24" i="2" s="1"/>
  <c r="E24" i="2" s="1"/>
  <c r="G24" i="2" s="1"/>
  <c r="H24" i="2"/>
  <c r="I24" i="2"/>
  <c r="J24" i="2"/>
  <c r="O4" i="4"/>
  <c r="P4" i="4"/>
  <c r="E13" i="2"/>
  <c r="G13" i="2" s="1"/>
  <c r="F13" i="2"/>
  <c r="P13" i="2" s="1"/>
  <c r="H13" i="2"/>
  <c r="I13" i="2"/>
  <c r="J13" i="2"/>
  <c r="N13" i="2"/>
  <c r="R13" i="2"/>
  <c r="V13" i="2"/>
  <c r="E14" i="2"/>
  <c r="W14" i="2" s="1"/>
  <c r="F14" i="2"/>
  <c r="P14" i="2" s="1"/>
  <c r="H14" i="2"/>
  <c r="I14" i="2"/>
  <c r="J14" i="2"/>
  <c r="N14" i="2"/>
  <c r="R14" i="2"/>
  <c r="V14" i="2"/>
  <c r="E15" i="2"/>
  <c r="W15" i="2" s="1"/>
  <c r="F15" i="2"/>
  <c r="T15" i="2" s="1"/>
  <c r="H15" i="2"/>
  <c r="I15" i="2"/>
  <c r="J15" i="2"/>
  <c r="N15" i="2"/>
  <c r="R15" i="2"/>
  <c r="V15" i="2"/>
  <c r="X15" i="2"/>
  <c r="E16" i="2"/>
  <c r="S16" i="2" s="1"/>
  <c r="F16" i="2"/>
  <c r="T16" i="2" s="1"/>
  <c r="H16" i="2"/>
  <c r="I16" i="2"/>
  <c r="J16" i="2"/>
  <c r="N16" i="2"/>
  <c r="R16" i="2"/>
  <c r="V16" i="2"/>
  <c r="E17" i="2"/>
  <c r="G17" i="2" s="1"/>
  <c r="F17" i="2"/>
  <c r="P17" i="2" s="1"/>
  <c r="H17" i="2"/>
  <c r="I17" i="2"/>
  <c r="J17" i="2"/>
  <c r="N17" i="2"/>
  <c r="R17" i="2"/>
  <c r="V17" i="2"/>
  <c r="E18" i="2"/>
  <c r="G18" i="2" s="1"/>
  <c r="F18" i="2"/>
  <c r="P18" i="2" s="1"/>
  <c r="H18" i="2"/>
  <c r="I18" i="2"/>
  <c r="J18" i="2"/>
  <c r="N18" i="2"/>
  <c r="R18" i="2"/>
  <c r="V18" i="2"/>
  <c r="E12" i="2"/>
  <c r="G12" i="2" s="1"/>
  <c r="F12" i="2"/>
  <c r="T12" i="2" s="1"/>
  <c r="H12" i="2"/>
  <c r="I12" i="2"/>
  <c r="J12" i="2"/>
  <c r="N12" i="2"/>
  <c r="R12" i="2"/>
  <c r="V12" i="2"/>
  <c r="E19" i="2"/>
  <c r="G19" i="2" s="1"/>
  <c r="F19" i="2"/>
  <c r="P19" i="2" s="1"/>
  <c r="H19" i="2"/>
  <c r="I19" i="2"/>
  <c r="J19" i="2"/>
  <c r="N19" i="2"/>
  <c r="R19" i="2"/>
  <c r="V19" i="2"/>
  <c r="K37" i="2"/>
  <c r="K36" i="2"/>
  <c r="G37" i="2"/>
  <c r="G36" i="2"/>
  <c r="K33" i="2"/>
  <c r="K32" i="2"/>
  <c r="G33" i="2"/>
  <c r="G32" i="2"/>
  <c r="O6" i="2"/>
  <c r="F6" i="2"/>
  <c r="P6" i="2" s="1"/>
  <c r="H6" i="2"/>
  <c r="I6" i="2"/>
  <c r="J6" i="2"/>
  <c r="N6" i="2"/>
  <c r="R6" i="2"/>
  <c r="V6" i="2"/>
  <c r="E21" i="2"/>
  <c r="E23" i="2" l="1"/>
  <c r="V24" i="2"/>
  <c r="R24" i="2"/>
  <c r="N24" i="2"/>
  <c r="F24" i="2"/>
  <c r="T24" i="2" s="1"/>
  <c r="O24" i="2"/>
  <c r="Y24" i="2"/>
  <c r="Q24" i="2"/>
  <c r="U24" i="2"/>
  <c r="W24" i="2"/>
  <c r="X17" i="2"/>
  <c r="S24" i="2"/>
  <c r="T17" i="2"/>
  <c r="S15" i="2"/>
  <c r="W18" i="2"/>
  <c r="O17" i="2"/>
  <c r="X13" i="2"/>
  <c r="W13" i="2"/>
  <c r="W16" i="2"/>
  <c r="P16" i="2"/>
  <c r="W17" i="2"/>
  <c r="X14" i="2"/>
  <c r="T14" i="2"/>
  <c r="S17" i="2"/>
  <c r="Q17" i="2"/>
  <c r="U17" i="2"/>
  <c r="Y17" i="2"/>
  <c r="Y13" i="2"/>
  <c r="Q13" i="2"/>
  <c r="U13" i="2"/>
  <c r="O16" i="2"/>
  <c r="S14" i="2"/>
  <c r="P15" i="2"/>
  <c r="T13" i="2"/>
  <c r="O15" i="2"/>
  <c r="S13" i="2"/>
  <c r="O14" i="2"/>
  <c r="G16" i="2"/>
  <c r="O13" i="2"/>
  <c r="X16" i="2"/>
  <c r="G15" i="2"/>
  <c r="G14" i="2"/>
  <c r="X18" i="2"/>
  <c r="Y18" i="2"/>
  <c r="Q18" i="2"/>
  <c r="U18" i="2"/>
  <c r="T18" i="2"/>
  <c r="S18" i="2"/>
  <c r="O18" i="2"/>
  <c r="W12" i="2"/>
  <c r="O12" i="2"/>
  <c r="S12" i="2"/>
  <c r="U12" i="2"/>
  <c r="Y12" i="2"/>
  <c r="Q12" i="2"/>
  <c r="P12" i="2"/>
  <c r="X12" i="2"/>
  <c r="Q19" i="2"/>
  <c r="U19" i="2"/>
  <c r="Y19" i="2"/>
  <c r="X19" i="2"/>
  <c r="W19" i="2"/>
  <c r="T19" i="2"/>
  <c r="O19" i="2"/>
  <c r="S19" i="2"/>
  <c r="T6" i="2"/>
  <c r="X6" i="2"/>
  <c r="W6" i="2"/>
  <c r="S6" i="2"/>
  <c r="G6" i="2"/>
  <c r="Y6" i="2" s="1"/>
  <c r="X24" i="2" l="1"/>
  <c r="P24" i="2"/>
  <c r="Y14" i="2"/>
  <c r="U14" i="2"/>
  <c r="Q14" i="2"/>
  <c r="U16" i="2"/>
  <c r="Y16" i="2"/>
  <c r="Q16" i="2"/>
  <c r="U15" i="2"/>
  <c r="Y15" i="2"/>
  <c r="Q15" i="2"/>
  <c r="Q6" i="2"/>
  <c r="U6" i="2"/>
  <c r="E20" i="2" l="1"/>
  <c r="O20" i="2" s="1"/>
  <c r="F20" i="2"/>
  <c r="P20" i="2" s="1"/>
  <c r="H20" i="2"/>
  <c r="I20" i="2"/>
  <c r="J20" i="2"/>
  <c r="N20" i="2"/>
  <c r="R20" i="2"/>
  <c r="V20" i="2"/>
  <c r="G10" i="2"/>
  <c r="Q10" i="2" s="1"/>
  <c r="F10" i="2"/>
  <c r="T10" i="2" s="1"/>
  <c r="H10" i="2"/>
  <c r="I10" i="2"/>
  <c r="J10" i="2"/>
  <c r="N10" i="2"/>
  <c r="R10" i="2"/>
  <c r="V10" i="2"/>
  <c r="O4" i="2"/>
  <c r="G5" i="2"/>
  <c r="U5" i="2" s="1"/>
  <c r="F4" i="2"/>
  <c r="T4" i="2" s="1"/>
  <c r="F5" i="2"/>
  <c r="H4" i="2"/>
  <c r="H5" i="2"/>
  <c r="I4" i="2"/>
  <c r="I5" i="2"/>
  <c r="J4" i="2"/>
  <c r="J5" i="2"/>
  <c r="N4" i="2"/>
  <c r="N5" i="2"/>
  <c r="R4" i="2"/>
  <c r="R5" i="2"/>
  <c r="V4" i="2"/>
  <c r="V5" i="2"/>
  <c r="S7" i="2"/>
  <c r="F7" i="2"/>
  <c r="T7" i="2" s="1"/>
  <c r="H7" i="2"/>
  <c r="I7" i="2"/>
  <c r="J7" i="2"/>
  <c r="N7" i="2"/>
  <c r="R7" i="2"/>
  <c r="V7" i="2"/>
  <c r="P3" i="2"/>
  <c r="F8" i="2"/>
  <c r="T8" i="2" s="1"/>
  <c r="F9" i="2"/>
  <c r="T9" i="2" s="1"/>
  <c r="F11" i="2"/>
  <c r="T11" i="2" s="1"/>
  <c r="F21" i="2"/>
  <c r="T21" i="2" s="1"/>
  <c r="F22" i="2"/>
  <c r="P22" i="2" s="1"/>
  <c r="F23" i="2"/>
  <c r="O3" i="2"/>
  <c r="G8" i="2"/>
  <c r="G9" i="2"/>
  <c r="Y9" i="2" s="1"/>
  <c r="G11" i="2"/>
  <c r="G21" i="2"/>
  <c r="Y21" i="2" s="1"/>
  <c r="E22" i="2"/>
  <c r="H3" i="2"/>
  <c r="H8" i="2"/>
  <c r="H9" i="2"/>
  <c r="H11" i="2"/>
  <c r="H21" i="2"/>
  <c r="H22" i="2"/>
  <c r="H23" i="2"/>
  <c r="H25" i="2"/>
  <c r="H26" i="2"/>
  <c r="I3" i="2"/>
  <c r="I8" i="2"/>
  <c r="I9" i="2"/>
  <c r="I11" i="2"/>
  <c r="I21" i="2"/>
  <c r="I22" i="2"/>
  <c r="I23" i="2"/>
  <c r="I25" i="2"/>
  <c r="I26" i="2"/>
  <c r="J3" i="2"/>
  <c r="J8" i="2"/>
  <c r="J9" i="2"/>
  <c r="J11" i="2"/>
  <c r="J21" i="2"/>
  <c r="J22" i="2"/>
  <c r="J23" i="2"/>
  <c r="J25" i="2"/>
  <c r="J26" i="2"/>
  <c r="N3" i="2"/>
  <c r="N8" i="2"/>
  <c r="N9" i="2"/>
  <c r="N11" i="2"/>
  <c r="N21" i="2"/>
  <c r="N22" i="2"/>
  <c r="O9" i="2"/>
  <c r="R3" i="2"/>
  <c r="R8" i="2"/>
  <c r="R9" i="2"/>
  <c r="R11" i="2"/>
  <c r="R21" i="2"/>
  <c r="R22" i="2"/>
  <c r="S9" i="2"/>
  <c r="V3" i="2"/>
  <c r="V8" i="2"/>
  <c r="V9" i="2"/>
  <c r="V11" i="2"/>
  <c r="V21" i="2"/>
  <c r="V22" i="2"/>
  <c r="W9" i="2"/>
  <c r="J37" i="2"/>
  <c r="I37" i="2"/>
  <c r="H37" i="2"/>
  <c r="J36" i="2"/>
  <c r="I36" i="2"/>
  <c r="H36" i="2"/>
  <c r="H33" i="2"/>
  <c r="I33" i="2"/>
  <c r="J33" i="2"/>
  <c r="H32" i="2"/>
  <c r="I32" i="2"/>
  <c r="J32" i="2"/>
  <c r="I4" i="4"/>
  <c r="I5" i="4"/>
  <c r="I9" i="4" s="1"/>
  <c r="I6" i="4"/>
  <c r="I10" i="4" s="1"/>
  <c r="I14" i="4" s="1"/>
  <c r="I18" i="4" s="1"/>
  <c r="I22" i="4" s="1"/>
  <c r="I3" i="4"/>
  <c r="I7" i="4" s="1"/>
  <c r="B13" i="4"/>
  <c r="B14" i="4" s="1"/>
  <c r="B15" i="4" s="1"/>
  <c r="B16" i="4" s="1"/>
  <c r="D16" i="4" s="1"/>
  <c r="Q86" i="4" s="1"/>
  <c r="M1" i="4"/>
  <c r="L1" i="4"/>
  <c r="K1" i="4"/>
  <c r="K3" i="4" s="1"/>
  <c r="K4" i="4" s="1"/>
  <c r="D5" i="4"/>
  <c r="D4" i="4"/>
  <c r="D3" i="4"/>
  <c r="E11" i="4"/>
  <c r="U1" i="5"/>
  <c r="E3" i="4" l="1"/>
  <c r="E4" i="4"/>
  <c r="J5" i="4"/>
  <c r="J6" i="4"/>
  <c r="J3" i="4"/>
  <c r="J10" i="4"/>
  <c r="J7" i="4"/>
  <c r="I11" i="4"/>
  <c r="J14" i="4"/>
  <c r="X3" i="2"/>
  <c r="T3" i="2"/>
  <c r="P21" i="2"/>
  <c r="X7" i="2"/>
  <c r="W5" i="2"/>
  <c r="X20" i="2"/>
  <c r="X21" i="2"/>
  <c r="S4" i="2"/>
  <c r="T22" i="2"/>
  <c r="X22" i="2"/>
  <c r="W11" i="2"/>
  <c r="P7" i="2"/>
  <c r="S5" i="2"/>
  <c r="P11" i="2"/>
  <c r="D14" i="4"/>
  <c r="Q84" i="4" s="1"/>
  <c r="D15" i="4"/>
  <c r="Q85" i="4" s="1"/>
  <c r="X4" i="2"/>
  <c r="X11" i="2"/>
  <c r="W3" i="2"/>
  <c r="P4" i="2"/>
  <c r="R23" i="2"/>
  <c r="S3" i="2"/>
  <c r="P8" i="2"/>
  <c r="U21" i="2"/>
  <c r="W8" i="2"/>
  <c r="U3" i="2"/>
  <c r="O10" i="2"/>
  <c r="P9" i="2"/>
  <c r="V23" i="2"/>
  <c r="Q21" i="2"/>
  <c r="N23" i="2"/>
  <c r="X9" i="2"/>
  <c r="X8" i="2"/>
  <c r="W21" i="2"/>
  <c r="S8" i="2"/>
  <c r="O8" i="2"/>
  <c r="O5" i="2"/>
  <c r="X10" i="2"/>
  <c r="T20" i="2"/>
  <c r="S21" i="2"/>
  <c r="O21" i="2"/>
  <c r="W10" i="2"/>
  <c r="D25" i="2"/>
  <c r="R25" i="2" s="1"/>
  <c r="G4" i="2"/>
  <c r="Y4" i="2" s="1"/>
  <c r="S10" i="2"/>
  <c r="G23" i="2"/>
  <c r="P10" i="2"/>
  <c r="E5" i="4"/>
  <c r="N3" i="4"/>
  <c r="C13" i="4"/>
  <c r="D13" i="4" s="1"/>
  <c r="Q83" i="4" s="1"/>
  <c r="C16" i="4"/>
  <c r="C15" i="4"/>
  <c r="C14" i="4"/>
  <c r="U2" i="5"/>
  <c r="U3" i="5" s="1"/>
  <c r="U4" i="5" s="1"/>
  <c r="A1" i="5" s="1"/>
  <c r="K5" i="4"/>
  <c r="J22" i="4"/>
  <c r="I26" i="4"/>
  <c r="L3" i="4"/>
  <c r="I13" i="4"/>
  <c r="J9" i="4"/>
  <c r="Q11" i="2"/>
  <c r="Y11" i="2"/>
  <c r="U11" i="2"/>
  <c r="J18" i="4"/>
  <c r="J4" i="4"/>
  <c r="I8" i="4"/>
  <c r="O22" i="2"/>
  <c r="W22" i="2"/>
  <c r="G22" i="2"/>
  <c r="S22" i="2"/>
  <c r="Q9" i="2"/>
  <c r="U9" i="2"/>
  <c r="Q8" i="2"/>
  <c r="Y8" i="2"/>
  <c r="U8" i="2"/>
  <c r="G7" i="2"/>
  <c r="Q5" i="2"/>
  <c r="T5" i="2"/>
  <c r="P5" i="2"/>
  <c r="X5" i="2"/>
  <c r="Y5" i="2"/>
  <c r="P23" i="2"/>
  <c r="X23" i="2"/>
  <c r="O7" i="2"/>
  <c r="W7" i="2"/>
  <c r="T23" i="2"/>
  <c r="O11" i="2"/>
  <c r="U10" i="2"/>
  <c r="S20" i="2"/>
  <c r="G20" i="2"/>
  <c r="W4" i="2"/>
  <c r="S11" i="2"/>
  <c r="Y10" i="2"/>
  <c r="W20" i="2"/>
  <c r="L4" i="4" l="1"/>
  <c r="I15" i="4"/>
  <c r="J11" i="4"/>
  <c r="Q4" i="2"/>
  <c r="U4" i="2"/>
  <c r="Y3" i="2"/>
  <c r="Q3" i="2"/>
  <c r="N4" i="4"/>
  <c r="F25" i="2"/>
  <c r="X25" i="2" s="1"/>
  <c r="E25" i="2"/>
  <c r="E26" i="2" s="1"/>
  <c r="O26" i="2" s="1"/>
  <c r="S23" i="2"/>
  <c r="W23" i="2"/>
  <c r="O23" i="2"/>
  <c r="N25" i="2"/>
  <c r="V25" i="2"/>
  <c r="D26" i="2"/>
  <c r="D27" i="2" s="1"/>
  <c r="Q23" i="2"/>
  <c r="Y23" i="2"/>
  <c r="U23" i="2"/>
  <c r="I30" i="4"/>
  <c r="J26" i="4"/>
  <c r="Q20" i="2"/>
  <c r="Y20" i="2"/>
  <c r="U20" i="2"/>
  <c r="I17" i="4"/>
  <c r="J13" i="4"/>
  <c r="U7" i="2"/>
  <c r="Q7" i="2"/>
  <c r="Y7" i="2"/>
  <c r="M3" i="4"/>
  <c r="Q22" i="2"/>
  <c r="Y22" i="2"/>
  <c r="U22" i="2"/>
  <c r="I12" i="4"/>
  <c r="J8" i="4"/>
  <c r="M4" i="4"/>
  <c r="N5" i="4"/>
  <c r="K6" i="4"/>
  <c r="L5" i="4"/>
  <c r="Q3" i="4" l="1"/>
  <c r="J15" i="4"/>
  <c r="I19" i="4"/>
  <c r="T25" i="2"/>
  <c r="P25" i="2"/>
  <c r="Q4" i="4"/>
  <c r="G26" i="2"/>
  <c r="U26" i="2" s="1"/>
  <c r="W25" i="2"/>
  <c r="S26" i="2"/>
  <c r="W26" i="2"/>
  <c r="O25" i="2"/>
  <c r="S25" i="2"/>
  <c r="E27" i="2"/>
  <c r="G25" i="2"/>
  <c r="Q25" i="2" s="1"/>
  <c r="R26" i="2"/>
  <c r="N26" i="2"/>
  <c r="V26" i="2"/>
  <c r="F26" i="2"/>
  <c r="J30" i="4"/>
  <c r="I34" i="4"/>
  <c r="K7" i="4"/>
  <c r="N6" i="4"/>
  <c r="L6" i="4"/>
  <c r="I16" i="4"/>
  <c r="J12" i="4"/>
  <c r="I21" i="4"/>
  <c r="J17" i="4"/>
  <c r="M5" i="4"/>
  <c r="P5" i="4" s="1"/>
  <c r="O5" i="4"/>
  <c r="Q5" i="4" l="1"/>
  <c r="I23" i="4"/>
  <c r="J19" i="4"/>
  <c r="Q26" i="2"/>
  <c r="Y26" i="2"/>
  <c r="G27" i="2"/>
  <c r="Y25" i="2"/>
  <c r="U25" i="2"/>
  <c r="P26" i="2"/>
  <c r="X26" i="2"/>
  <c r="T26" i="2"/>
  <c r="F27" i="2"/>
  <c r="J16" i="4"/>
  <c r="I20" i="4"/>
  <c r="K8" i="4"/>
  <c r="N7" i="4"/>
  <c r="L7" i="4"/>
  <c r="M6" i="4"/>
  <c r="P6" i="4" s="1"/>
  <c r="O6" i="4"/>
  <c r="I25" i="4"/>
  <c r="J21" i="4"/>
  <c r="I38" i="4"/>
  <c r="J34" i="4"/>
  <c r="I27" i="4" l="1"/>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Q59" i="4" s="1"/>
  <c r="K61" i="4"/>
  <c r="N60" i="4"/>
  <c r="L60" i="4"/>
  <c r="M60" i="4" l="1"/>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N68" i="4"/>
  <c r="L68" i="4"/>
  <c r="K69" i="4"/>
  <c r="Q67" i="4" l="1"/>
  <c r="L69" i="4"/>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Q76" i="4" s="1"/>
  <c r="N77" i="4"/>
  <c r="L77" i="4"/>
  <c r="K78" i="4"/>
  <c r="N78" i="4" l="1"/>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tc={BC14C5D0-9CD6-4FC3-B43F-4B1E511CCAEA}</author>
  </authors>
  <commentList>
    <comment ref="Z9" authorId="0" shapeId="0" xr:uid="{BC14C5D0-9CD6-4FC3-B43F-4B1E511CCAEA}">
      <text>
        <t>[Threaded comment]
Your version of Excel allows you to read this threaded comment; however, any edits to it will get removed if the file is opened in a newer version of Excel. Learn more: https://go.microsoft.com/fwlink/?linkid=870924
Comment:
    Includes Developer QA of initial installation</t>
      </text>
    </comment>
  </commentList>
</comments>
</file>

<file path=xl/sharedStrings.xml><?xml version="1.0" encoding="utf-8"?>
<sst xmlns="http://schemas.openxmlformats.org/spreadsheetml/2006/main" count="358" uniqueCount="286">
  <si>
    <t>&lt;COMPANY NAME&gt; Project Estimates &lt;DATE&gt;</t>
  </si>
  <si>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</si>
  <si>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</si>
  <si>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</si>
  <si>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</si>
  <si>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</si>
  <si>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</si>
  <si>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</si>
  <si>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</si>
  <si>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</si>
  <si>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</si>
  <si>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</si>
  <si>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</si>
  <si>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</si>
  <si>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</si>
  <si>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</si>
  <si>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</si>
  <si>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</si>
  <si>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</si>
  <si>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</si>
  <si>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</si>
  <si>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</si>
  <si>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</si>
  <si>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</si>
  <si>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</si>
  <si>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</si>
  <si>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Connect License (Core Modules)</t>
  </si>
  <si>
    <t>CL</t>
  </si>
  <si>
    <t>*One-time base license for the Clarity Connect platform. Includes any connectors for the CRM/ERP/EMR that we're trying to connect to if they already exist. 
**Annual maintenance can be purchased for 30% of the cost of the license. This includes a small bucket of hours which can be used for tech support, training, enhancements, etc. Additional hours may be purchased at the standard rates.</t>
  </si>
  <si>
    <t>Clarity Connect Licensing &amp; Standard Configuration</t>
  </si>
  <si>
    <t xml:space="preserve">   - 1st Application integrated</t>
  </si>
  <si>
    <t>*&lt;FIRST APPLICATION&gt;</t>
  </si>
  <si>
    <t xml:space="preserve">   - 2nd Application integrated</t>
  </si>
  <si>
    <t>*&lt;SECOND APPLICATION&gt;</t>
  </si>
  <si>
    <t>Basic Connect Client configuration package</t>
  </si>
  <si>
    <t>B</t>
  </si>
  <si>
    <t>*Clarity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t>
  </si>
  <si>
    <t>Basic Connect installation (Dev)</t>
  </si>
  <si>
    <t>*included - Clarity will install (in the dev environment), the basic OOTB Connect installation. The client will be responsible for providing credentials/access to a test account or environment for the applications being connected.</t>
  </si>
  <si>
    <t>Basic Connect configuration</t>
  </si>
  <si>
    <t>*included - There are numerous features that are configurable based on where the solution will be installed, what queue and database will be used, etc. This line item will be used to set up those basic features.</t>
  </si>
  <si>
    <t>Basic Connect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</si>
  <si>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</si>
  <si>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</si>
  <si>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install to production. **This may be variable if the client wants a more complex hosting environment set up (i.e. behind their DMZ, custom queue or database, etc.). If the client chooses an outside hosting provider (themselves, AWS, Azure, etc.), then the client is responsible for any hosting fees.</t>
  </si>
  <si>
    <t>Integration customizations</t>
  </si>
  <si>
    <t>Connectors and Customizations</t>
  </si>
  <si>
    <t>QA, Bug Fix, User Story testing</t>
  </si>
  <si>
    <t>QA</t>
  </si>
  <si>
    <t>*Unit and pre-launch use case testing</t>
  </si>
  <si>
    <t>Meetings</t>
  </si>
  <si>
    <t>MTG</t>
  </si>
  <si>
    <t>*Depends on clients' needs (more meetings, more people = more time)</t>
  </si>
  <si>
    <t>Project Management</t>
  </si>
  <si>
    <t>PM</t>
  </si>
  <si>
    <t>*Clarity Project Management, Invoicing, Sprint planning, Gantt, etc.</t>
  </si>
  <si>
    <t>Projected Estimate</t>
  </si>
  <si>
    <t>Preferred (Pre-paid) Hourly Block Rates &amp; Licensing Costs</t>
  </si>
  <si>
    <t>Lo Rate</t>
  </si>
  <si>
    <t>Hi Rate</t>
  </si>
  <si>
    <t>Front-end Development rate</t>
  </si>
  <si>
    <t>F</t>
  </si>
  <si>
    <t>Phase I &amp; II hours</t>
  </si>
  <si>
    <t>Phase I &amp; II $</t>
  </si>
  <si>
    <t>Total Cost</t>
  </si>
  <si>
    <t>Back-end, Middle-end Development rate</t>
  </si>
  <si>
    <t>B/M</t>
  </si>
  <si>
    <t>Quality Assurance, Discovery, Business Analyst rate</t>
  </si>
  <si>
    <t>QA/DD/BA</t>
  </si>
  <si>
    <t>Integration Development rate</t>
  </si>
  <si>
    <t>I</t>
  </si>
  <si>
    <t>SEO / marketing work rate</t>
  </si>
  <si>
    <t>SE/MK</t>
  </si>
  <si>
    <t>Phase III hours</t>
  </si>
  <si>
    <t>Clarity eCommerce software license</t>
  </si>
  <si>
    <t>EL</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</si>
  <si>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</si>
  <si>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</si>
  <si>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</si>
  <si>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</si>
  <si>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</si>
  <si>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</si>
  <si>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</si>
  <si>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</si>
  <si>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</si>
  <si>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</si>
  <si>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</si>
  <si>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</si>
  <si>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</si>
  <si>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</si>
  <si>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</si>
  <si>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</si>
  <si>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</si>
  <si>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</si>
  <si>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</si>
  <si>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Back End</t>
  </si>
  <si>
    <t>License</t>
  </si>
  <si>
    <t>Quality Assurance</t>
  </si>
  <si>
    <t>Grand Total</t>
  </si>
  <si>
    <t>Project-based Payments</t>
  </si>
  <si>
    <t>Cost Per Month</t>
  </si>
  <si>
    <t>Month</t>
  </si>
  <si>
    <t>Month Name</t>
  </si>
  <si>
    <t>Total</t>
  </si>
  <si>
    <t>September</t>
  </si>
  <si>
    <t>October</t>
  </si>
  <si>
    <t>MonthNum</t>
  </si>
  <si>
    <t>MonthName</t>
  </si>
  <si>
    <t>January</t>
  </si>
  <si>
    <t>February</t>
  </si>
  <si>
    <t>March</t>
  </si>
  <si>
    <t>April</t>
  </si>
  <si>
    <t>May</t>
  </si>
  <si>
    <t>June</t>
  </si>
  <si>
    <t>July</t>
  </si>
  <si>
    <t>August</t>
  </si>
  <si>
    <t>November</t>
  </si>
  <si>
    <t>December</t>
  </si>
  <si>
    <t>Starting Month</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</si>
  <si>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</si>
  <si>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</si>
  <si>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</si>
  <si>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</si>
  <si>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</si>
  <si>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</si>
  <si>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</si>
  <si>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</si>
  <si>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</si>
  <si>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</si>
  <si>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</si>
  <si>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</si>
  <si>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</si>
  <si>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</si>
  <si>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</si>
  <si>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</si>
  <si>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</si>
  <si>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</si>
  <si>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</si>
  <si>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</si>
  <si>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</si>
  <si>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</si>
  <si>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</si>
  <si>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</si>
  <si>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</si>
  <si>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</si>
  <si>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</si>
  <si>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</si>
  <si>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</si>
  <si>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</si>
  <si>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</si>
  <si>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</si>
  <si>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</si>
  <si>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</si>
  <si>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</si>
  <si>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</si>
  <si>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</si>
  <si>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</si>
  <si>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</si>
  <si>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</si>
  <si>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</si>
  <si>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</si>
  <si>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</si>
  <si>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</si>
  <si>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</si>
  <si>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</si>
  <si>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</si>
  <si>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</si>
  <si>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</si>
  <si>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</si>
  <si>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</si>
  <si>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</si>
  <si>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</si>
  <si>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</si>
  <si>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</si>
  <si>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</si>
  <si>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</si>
  <si>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</si>
  <si>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</si>
  <si>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</si>
  <si>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</si>
  <si>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</si>
  <si>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</si>
  <si>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</si>
  <si>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</si>
  <si>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</si>
  <si>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</si>
  <si>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</si>
  <si>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</si>
  <si>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</si>
  <si>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</si>
  <si>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</si>
  <si>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</si>
  <si>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</si>
  <si>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</si>
  <si>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</si>
  <si>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</si>
  <si>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</si>
  <si>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</si>
  <si>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</si>
  <si>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</si>
  <si>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</si>
  <si>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</si>
  <si>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</si>
  <si>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</si>
  <si>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</si>
  <si>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</si>
  <si>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</si>
  <si>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</si>
  <si>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</si>
  <si>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</si>
  <si>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</si>
  <si>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</si>
  <si>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</si>
  <si>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</si>
  <si>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</si>
  <si>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</si>
  <si>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</si>
  <si>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</si>
  <si>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</si>
  <si>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</si>
  <si>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</si>
  <si>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</si>
  <si>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</si>
  <si>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</si>
  <si>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</si>
  <si>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</si>
  <si>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</si>
  <si>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</si>
  <si>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</si>
  <si>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</si>
  <si>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</si>
  <si>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</si>
  <si>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</si>
  <si>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</si>
  <si>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</si>
  <si>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</si>
  <si>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t>
  </si>
  <si>
    <t>Front End Hourly Rate ($150/hr. for post-pay)</t>
  </si>
  <si>
    <t>Blue</t>
  </si>
  <si>
    <t>Back End Hourly Rate ($175/hr. for post-pay)</t>
  </si>
  <si>
    <t>Yellow</t>
  </si>
  <si>
    <t>M</t>
  </si>
  <si>
    <t>Middle End</t>
  </si>
  <si>
    <t>Middle End Hourly Rate ($175/hr. for post-pay)</t>
  </si>
  <si>
    <t>Green</t>
  </si>
  <si>
    <t>Integration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</si>
  <si>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</si>
  <si>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</si>
  <si>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</si>
  <si>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</si>
  <si>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</si>
  <si>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</si>
  <si>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</si>
  <si>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</si>
  <si>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</si>
  <si>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</si>
  <si>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</si>
  <si>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</si>
  <si>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BA</t>
  </si>
  <si>
    <t>Business Analyst</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</si>
  <si>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</si>
  <si>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</si>
  <si>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</si>
  <si>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</si>
  <si>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</si>
  <si>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</si>
  <si>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CMARK</t>
  </si>
  <si>
    <t>Marketing Machine Learning Engine</t>
  </si>
  <si>
    <t>CSTORE</t>
  </si>
  <si>
    <t>Multi-store Module</t>
  </si>
  <si>
    <t>CLANG</t>
  </si>
  <si>
    <t>Multi-Currency / Multi-lingual</t>
  </si>
  <si>
    <t>DD</t>
  </si>
  <si>
    <t>Discovery</t>
  </si>
  <si>
    <t>Project Discovery and Documentation</t>
  </si>
  <si>
    <t>i</t>
  </si>
  <si>
    <r>
      <t xml:space="preserve">*The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
</t>
    </r>
    <r>
      <rPr>
        <b/>
        <sz val="11"/>
        <color theme="1"/>
        <rFont val="Calibri"/>
        <family val="2"/>
        <scheme val="minor"/>
      </rPr>
      <t>Removed from the total project hours</t>
    </r>
  </si>
  <si>
    <t>5</t>
  </si>
  <si>
    <t>PM, QA, &amp; Meetings</t>
  </si>
  <si>
    <t>Discovery - Technical Analysis</t>
  </si>
  <si>
    <t>Discovery - Documentation</t>
  </si>
  <si>
    <t>Discovery - Re-Estimations</t>
  </si>
  <si>
    <t xml:space="preserve">Time for the Clarity BA Team to conduct Discovery Sessions to document Business Logic and Client-Specific Requirements </t>
  </si>
  <si>
    <t xml:space="preserve">Time for the Clarity BA Team to create and FSD (Functional Specification Document) that details all client-specific customizations (User Stories, Notes, and Related Documents) </t>
  </si>
  <si>
    <t xml:space="preserve">Time for Clarity's BA Team to conduct a formal Re-Estimations Meeting to task out and estimate all features in the FSD. </t>
  </si>
  <si>
    <t xml:space="preserve">Discovery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</si>
</sst>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19"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b/>
      <sz val="11"/>
      <color theme="1"/>
      <name val="Calibri"/>
      <family val="2"/>
      <scheme val="minor"/>
    </font>
    <font>
      <b/>
      <sz val="20"/>
      <color theme="0"/>
      <name val="Calibri"/>
      <family val="2"/>
      <scheme val="minor"/>
    </font>
    <font>
      <sz val="11"/>
      <color theme="1"/>
      <name val="Castellar"/>
    </font>
    <font>
      <b/>
      <sz val="11"/>
      <color theme="1"/>
      <name val="Calibri"/>
      <scheme val="minor"/>
    </font>
  </fonts>
  <fills count="13">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
      <patternFill patternType="solid">
        <fgColor rgb="FF00B050"/>
        <bgColor indexed="64"/>
      </patternFill>
    </fill>
  </fills>
  <borders count="33">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0" fontId="0" fillId="0" borderId="6" xfId="0" applyBorder="1"/>
    <xf numFmtId="1" fontId="0" fillId="0" borderId="7" xfId="0" applyNumberFormat="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164" fontId="4" fillId="5" borderId="0" xfId="0" applyNumberFormat="1" applyFont="1" applyFill="1"/>
    <xf numFmtId="44" fontId="4" fillId="5" borderId="0" xfId="0" applyNumberFormat="1" applyFont="1" applyFill="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4" fillId="5" borderId="0" xfId="0" applyNumberFormat="1" applyFont="1" applyFill="1" applyAlignment="1">
      <alignment horizontal="center"/>
    </xf>
    <xf numFmtId="9" fontId="0" fillId="0" borderId="0" xfId="2" applyFont="1" applyAlignment="1">
      <alignment horizontal="center"/>
    </xf>
    <xf numFmtId="0" fontId="2" fillId="0" borderId="0" xfId="0" applyFont="1" applyAlignment="1">
      <alignment horizontal="center"/>
    </xf>
    <xf numFmtId="0" fontId="10" fillId="5" borderId="0" xfId="0" applyFont="1" applyFill="1" applyAlignment="1">
      <alignment horizontal="center"/>
    </xf>
    <xf numFmtId="0" fontId="12" fillId="0" borderId="1" xfId="0" applyFont="1" applyBorder="1"/>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7" borderId="7" xfId="0" applyNumberFormat="1" applyFont="1" applyFill="1" applyBorder="1" applyAlignment="1">
      <alignment horizontal="center"/>
    </xf>
    <xf numFmtId="164" fontId="4" fillId="7" borderId="8"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44" fontId="0" fillId="0" borderId="15" xfId="1" applyFont="1" applyBorder="1"/>
    <xf numFmtId="44" fontId="4" fillId="7" borderId="2" xfId="1" applyFont="1" applyFill="1" applyBorder="1" applyAlignment="1">
      <alignment horizontal="center"/>
    </xf>
    <xf numFmtId="44" fontId="4" fillId="7" borderId="3" xfId="1" applyFont="1" applyFill="1" applyBorder="1" applyAlignment="1">
      <alignment horizontal="center"/>
    </xf>
    <xf numFmtId="0" fontId="4" fillId="7" borderId="3" xfId="0" applyFont="1" applyFill="1" applyBorder="1"/>
    <xf numFmtId="9" fontId="4" fillId="7" borderId="4" xfId="2" applyFont="1" applyFill="1" applyBorder="1" applyAlignment="1">
      <alignment horizontal="center"/>
    </xf>
    <xf numFmtId="9" fontId="7" fillId="0" borderId="0" xfId="2" applyFont="1" applyAlignment="1">
      <alignment horizontal="center"/>
    </xf>
    <xf numFmtId="37" fontId="7" fillId="0" borderId="6" xfId="1" applyNumberFormat="1" applyFont="1" applyBorder="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5" fontId="7" fillId="0" borderId="16" xfId="1" applyNumberFormat="1" applyFont="1" applyBorder="1" applyAlignment="1">
      <alignment horizontal="center"/>
    </xf>
    <xf numFmtId="5" fontId="7" fillId="0" borderId="17" xfId="1" applyNumberFormat="1" applyFont="1" applyBorder="1" applyAlignment="1">
      <alignment horizontal="center"/>
    </xf>
    <xf numFmtId="164" fontId="4" fillId="5" borderId="8" xfId="0" applyNumberFormat="1" applyFont="1" applyFill="1" applyBorder="1"/>
    <xf numFmtId="0" fontId="0" fillId="0" borderId="0" xfId="0" applyAlignment="1">
      <alignment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5" fontId="0" fillId="0" borderId="0" xfId="0" applyNumberFormat="1"/>
    <xf numFmtId="0" fontId="0" fillId="0" borderId="18" xfId="0" applyBorder="1"/>
    <xf numFmtId="0" fontId="7" fillId="0" borderId="19" xfId="0" applyFont="1" applyBorder="1" applyAlignment="1">
      <alignment horizontal="center"/>
    </xf>
    <xf numFmtId="44" fontId="0" fillId="0" borderId="19" xfId="1" applyFont="1" applyBorder="1"/>
    <xf numFmtId="0" fontId="0" fillId="0" borderId="19" xfId="0" applyBorder="1"/>
    <xf numFmtId="9" fontId="0" fillId="0" borderId="19" xfId="2" applyFont="1" applyBorder="1" applyAlignment="1">
      <alignment horizontal="center"/>
    </xf>
    <xf numFmtId="0" fontId="0" fillId="0" borderId="20" xfId="0" applyBorder="1" applyAlignment="1">
      <alignment wrapText="1"/>
    </xf>
    <xf numFmtId="0" fontId="0" fillId="0" borderId="21" xfId="0" applyBorder="1"/>
    <xf numFmtId="0" fontId="0" fillId="0" borderId="22" xfId="0" applyBorder="1" applyAlignment="1">
      <alignment wrapText="1"/>
    </xf>
    <xf numFmtId="0" fontId="7" fillId="0" borderId="21" xfId="0" applyFont="1" applyBorder="1"/>
    <xf numFmtId="0" fontId="0" fillId="0" borderId="23" xfId="0" applyBorder="1"/>
    <xf numFmtId="0" fontId="2" fillId="0" borderId="24" xfId="0" applyFont="1" applyBorder="1" applyAlignment="1">
      <alignment horizontal="center"/>
    </xf>
    <xf numFmtId="44" fontId="0" fillId="0" borderId="24" xfId="1" applyFont="1" applyBorder="1"/>
    <xf numFmtId="0" fontId="0" fillId="0" borderId="24" xfId="0" applyBorder="1"/>
    <xf numFmtId="9" fontId="0" fillId="0" borderId="24" xfId="2" applyFont="1" applyBorder="1" applyAlignment="1">
      <alignment horizontal="center"/>
    </xf>
    <xf numFmtId="0" fontId="0" fillId="0" borderId="25" xfId="0" applyBorder="1" applyAlignment="1">
      <alignment wrapText="1"/>
    </xf>
    <xf numFmtId="44" fontId="0" fillId="0" borderId="0" xfId="1" applyNumberFormat="1" applyFont="1" applyBorder="1"/>
    <xf numFmtId="0" fontId="0" fillId="0" borderId="0" xfId="0" applyNumberFormat="1"/>
    <xf numFmtId="0" fontId="0" fillId="0" borderId="22" xfId="0" applyNumberFormat="1" applyBorder="1" applyAlignment="1">
      <alignment wrapText="1"/>
    </xf>
    <xf numFmtId="0" fontId="8" fillId="0" borderId="0" xfId="0" applyFont="1" applyAlignment="1">
      <alignment vertical="center" wrapText="1"/>
    </xf>
    <xf numFmtId="0" fontId="4" fillId="0" borderId="0" xfId="0" applyFont="1" applyAlignment="1">
      <alignment wrapText="1"/>
    </xf>
    <xf numFmtId="44" fontId="4" fillId="5" borderId="0" xfId="1" applyFont="1" applyFill="1"/>
    <xf numFmtId="0" fontId="0" fillId="0" borderId="0" xfId="0" applyBorder="1"/>
    <xf numFmtId="0" fontId="0" fillId="0" borderId="0" xfId="0" applyNumberFormat="1" applyFont="1" applyFill="1" applyBorder="1"/>
    <xf numFmtId="164" fontId="0" fillId="0" borderId="0" xfId="0" applyNumberFormat="1" applyFont="1" applyFill="1" applyBorder="1"/>
    <xf numFmtId="164" fontId="0" fillId="0" borderId="5" xfId="0" applyNumberFormat="1" applyFont="1" applyFill="1" applyBorder="1"/>
    <xf numFmtId="164" fontId="0" fillId="0" borderId="13" xfId="0" applyNumberFormat="1" applyFont="1" applyFill="1" applyBorder="1"/>
    <xf numFmtId="0" fontId="0" fillId="0" borderId="14" xfId="0" applyFont="1" applyFill="1" applyBorder="1" applyAlignment="1">
      <alignment horizontal="left"/>
    </xf>
    <xf numFmtId="167" fontId="0" fillId="0" borderId="0" xfId="0" applyNumberFormat="1" applyFont="1" applyFill="1" applyBorder="1"/>
    <xf numFmtId="0" fontId="2" fillId="0" borderId="19" xfId="0" applyFont="1" applyBorder="1" applyAlignment="1">
      <alignment horizontal="center"/>
    </xf>
    <xf numFmtId="0" fontId="2" fillId="0" borderId="0" xfId="0" applyFont="1" applyBorder="1" applyAlignment="1">
      <alignment horizontal="center"/>
    </xf>
    <xf numFmtId="0" fontId="0" fillId="0" borderId="0" xfId="0" applyNumberFormat="1" applyBorder="1"/>
    <xf numFmtId="0" fontId="0" fillId="12" borderId="29" xfId="0" applyFill="1" applyBorder="1" applyAlignment="1">
      <alignment horizontal="center"/>
    </xf>
    <xf numFmtId="0" fontId="3" fillId="12" borderId="13" xfId="0" applyFont="1" applyFill="1" applyBorder="1" applyAlignment="1">
      <alignment horizontal="center"/>
    </xf>
    <xf numFmtId="0" fontId="0" fillId="0" borderId="13" xfId="0" applyBorder="1" applyAlignment="1">
      <alignment horizontal="center"/>
    </xf>
    <xf numFmtId="0" fontId="0" fillId="0" borderId="30" xfId="0" applyBorder="1" applyAlignment="1">
      <alignment horizontal="center"/>
    </xf>
    <xf numFmtId="0" fontId="15" fillId="0" borderId="13" xfId="0" applyNumberFormat="1" applyFont="1" applyFill="1" applyBorder="1" applyAlignment="1">
      <alignment horizontal="center"/>
    </xf>
    <xf numFmtId="0" fontId="3" fillId="0" borderId="13" xfId="0" applyNumberFormat="1" applyFont="1" applyFill="1" applyBorder="1" applyAlignment="1">
      <alignment horizontal="center"/>
    </xf>
    <xf numFmtId="0" fontId="0" fillId="0" borderId="29" xfId="0" applyBorder="1" applyAlignment="1">
      <alignment horizontal="center"/>
    </xf>
    <xf numFmtId="0" fontId="18" fillId="0" borderId="13" xfId="0" applyNumberFormat="1" applyFont="1" applyFill="1" applyBorder="1" applyAlignment="1">
      <alignment horizontal="center"/>
    </xf>
    <xf numFmtId="0" fontId="17" fillId="0" borderId="0" xfId="0" applyFont="1" applyBorder="1" applyAlignment="1">
      <alignment horizontal="center"/>
    </xf>
    <xf numFmtId="0" fontId="0" fillId="12" borderId="31" xfId="0" applyFill="1" applyBorder="1" applyAlignment="1">
      <alignment horizontal="center"/>
    </xf>
    <xf numFmtId="0" fontId="3" fillId="12" borderId="28" xfId="0" applyFont="1" applyFill="1"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15" fillId="0" borderId="28" xfId="0" applyFont="1" applyFill="1" applyBorder="1" applyAlignment="1">
      <alignment horizontal="center"/>
    </xf>
    <xf numFmtId="0" fontId="3" fillId="0" borderId="28" xfId="0" applyFont="1" applyFill="1" applyBorder="1" applyAlignment="1">
      <alignment horizontal="center"/>
    </xf>
    <xf numFmtId="0" fontId="18" fillId="0" borderId="28" xfId="0" applyFont="1" applyFill="1" applyBorder="1" applyAlignment="1">
      <alignment horizont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6" fillId="5" borderId="26" xfId="0" applyFont="1" applyFill="1" applyBorder="1" applyAlignment="1">
      <alignment horizontal="center" vertical="center" textRotation="180" wrapText="1"/>
    </xf>
    <xf numFmtId="0" fontId="16" fillId="5" borderId="14" xfId="0" applyFont="1" applyFill="1" applyBorder="1" applyAlignment="1">
      <alignment horizontal="center" vertical="center" textRotation="180" wrapText="1"/>
    </xf>
    <xf numFmtId="0" fontId="16" fillId="5" borderId="27" xfId="0" applyFont="1" applyFill="1" applyBorder="1" applyAlignment="1">
      <alignment horizontal="center" vertical="center" textRotation="180" wrapText="1"/>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cellXfs>
  <cellStyles count="121">
    <cellStyle name="Currency" xfId="1" builtinId="4"/>
    <cellStyle name="Followed Hyperlink" xfId="70" builtinId="9" hidden="1"/>
    <cellStyle name="Followed Hyperlink" xfId="74" builtinId="9" hidden="1"/>
    <cellStyle name="Followed Hyperlink" xfId="78" builtinId="9" hidden="1"/>
    <cellStyle name="Followed Hyperlink" xfId="82" builtinId="9" hidden="1"/>
    <cellStyle name="Followed Hyperlink" xfId="86" builtinId="9" hidden="1"/>
    <cellStyle name="Followed Hyperlink" xfId="90" builtinId="9" hidden="1"/>
    <cellStyle name="Followed Hyperlink" xfId="94" builtinId="9" hidden="1"/>
    <cellStyle name="Followed Hyperlink" xfId="98" builtinId="9" hidden="1"/>
    <cellStyle name="Followed Hyperlink" xfId="102" builtinId="9" hidden="1"/>
    <cellStyle name="Followed Hyperlink" xfId="106" builtinId="9" hidden="1"/>
    <cellStyle name="Followed Hyperlink" xfId="110" builtinId="9" hidden="1"/>
    <cellStyle name="Followed Hyperlink" xfId="114" builtinId="9" hidden="1"/>
    <cellStyle name="Followed Hyperlink" xfId="118"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104" builtinId="9" hidden="1"/>
    <cellStyle name="Followed Hyperlink" xfId="100" builtinId="9" hidden="1"/>
    <cellStyle name="Followed Hyperlink" xfId="96" builtinId="9" hidden="1"/>
    <cellStyle name="Followed Hyperlink" xfId="92" builtinId="9" hidden="1"/>
    <cellStyle name="Followed Hyperlink" xfId="88" builtinId="9" hidden="1"/>
    <cellStyle name="Followed Hyperlink" xfId="84" builtinId="9" hidden="1"/>
    <cellStyle name="Followed Hyperlink" xfId="80" builtinId="9" hidden="1"/>
    <cellStyle name="Followed Hyperlink" xfId="76" builtinId="9" hidden="1"/>
    <cellStyle name="Followed Hyperlink" xfId="72" builtinId="9" hidden="1"/>
    <cellStyle name="Followed Hyperlink" xfId="68" builtinId="9" hidden="1"/>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1" builtinId="8" hidden="1"/>
    <cellStyle name="Hyperlink" xfId="45" builtinId="8" hidden="1"/>
    <cellStyle name="Hyperlink" xfId="2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Percent" xfId="2" builtinId="5"/>
  </cellStyles>
  <dxfs count="223">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alignment horizontal="general" vertical="bottom" textRotation="0" wrapText="1" justifyLastLine="0" shrinkToFit="0"/>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numFmt numFmtId="34" formatCode="_(&quot;$&quot;* #,##0.00_);_(&quot;$&quot;* \(#,##0.00\);_(&quot;$&quot;* &quot;-&quot;??_);_(@_)"/>
      <border outline="0">
        <left style="thin">
          <color indexed="64"/>
        </left>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outline val="0"/>
        <shadow val="0"/>
        <u val="none"/>
        <vertAlign val="baseline"/>
        <sz val="11"/>
        <color theme="1"/>
        <name val="Calibri"/>
        <scheme val="minor"/>
      </font>
      <numFmt numFmtId="0" formatCode="General"/>
      <fill>
        <patternFill patternType="none">
          <fgColor indexed="64"/>
          <bgColor auto="1"/>
        </patternFill>
      </fill>
      <alignment horizontal="center" textRotation="0" wrapText="0" indent="0" justifyLastLine="0" shrinkToFit="0"/>
      <border diagonalUp="0" diagonalDown="0">
        <left/>
        <right style="thin">
          <color indexed="64"/>
        </right>
        <vertical/>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outline val="0"/>
        <shadow val="0"/>
        <u val="none"/>
        <vertAlign val="baseline"/>
        <sz val="11"/>
        <color theme="1"/>
        <name val="Calibri"/>
        <scheme val="minor"/>
      </font>
      <fill>
        <patternFill patternType="none">
          <fgColor indexed="64"/>
          <bgColor auto="1"/>
        </patternFill>
      </fill>
      <alignment horizontal="center" textRotation="0" wrapText="0" indent="0" justifyLastLine="0" shrinkToFit="0"/>
      <border diagonalUp="0" diagonalDown="0">
        <left style="thin">
          <color indexed="64"/>
        </left>
        <right/>
        <vertical/>
      </border>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dxf>
    <dxf>
      <font>
        <strike val="0"/>
        <outline val="0"/>
        <shadow val="0"/>
        <u val="none"/>
        <vertAlign val="baseline"/>
        <sz val="11"/>
        <color theme="1"/>
        <name val="Castellar"/>
        <scheme val="none"/>
      </font>
      <alignment horizontal="center" textRotation="0" wrapText="0" indent="0" justifyLastLine="0" shrinkToFit="0"/>
      <border outline="0">
        <right style="thin">
          <color indexed="64"/>
        </right>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9" formatCode="&quot;$&quot;#,##0.0"/>
    </dxf>
    <dxf>
      <numFmt numFmtId="165" formatCode="&quot;$&quot;#,##0.00"/>
    </dxf>
    <dxf>
      <numFmt numFmtId="170" formatCode="&quot;$&quot;#,##0.000"/>
    </dxf>
    <dxf>
      <numFmt numFmtId="171" formatCode="&quot;$&quot;#,##0.0000"/>
    </dxf>
    <dxf>
      <numFmt numFmtId="170" formatCode="&quot;$&quot;#,##0.000"/>
    </dxf>
    <dxf>
      <numFmt numFmtId="34" formatCode="_(&quot;$&quot;* #,##0.00_);_(&quot;$&quot;* \(#,##0.00\);_(&quot;$&quot;* &quot;-&quot;??_);_(@_)"/>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yle Sanford" id="{03CB0CDA-B875-4602-BE9A-98C9BDD05029}" userId="Kyle Sanford"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47952893518" createdVersion="6" refreshedVersion="7" minRefreshableVersion="3" recordCount="23" xr:uid="{00000000-000A-0000-FFFF-FFFF0D000000}">
  <cacheSource type="worksheet">
    <worksheetSource name="Table1"/>
  </cacheSource>
  <cacheFields count="25">
    <cacheField name="Project Estimates" numFmtId="0">
      <sharedItems containsBlank="1"/>
    </cacheField>
    <cacheField name="Rate" numFmtId="0">
      <sharedItems/>
    </cacheField>
    <cacheField name="Lo Hrs." numFmtId="0">
      <sharedItems containsString="0" containsBlank="1" containsNumber="1" containsInteger="1" minValue="1" maxValue="13"/>
    </cacheField>
    <cacheField name="Hi Hrs." numFmtId="0">
      <sharedItems containsString="0" containsBlank="1" containsNumber="1" containsInteger="1" minValue="0" maxValue="13"/>
    </cacheField>
    <cacheField name="Lo Cost Est" numFmtId="44">
      <sharedItems containsSemiMixedTypes="0" containsString="0" containsNumber="1" containsInteger="1" minValue="0" maxValue="17100"/>
    </cacheField>
    <cacheField name="Hi Cost Est" numFmtId="44">
      <sharedItems containsSemiMixedTypes="0" containsString="0" containsNumber="1" containsInteger="1" minValue="0" maxValue="17100"/>
    </cacheField>
    <cacheField name="Formatting" numFmtId="0">
      <sharedItems/>
    </cacheField>
    <cacheField name="Short Rate Name" numFmtId="0">
      <sharedItems count="11">
        <s v="License"/>
        <s v="Integration"/>
        <s v="Quality Assurance"/>
        <s v="Meetings"/>
        <s v="Project Management"/>
        <s v="" u="1"/>
        <s v="Back End" u="1"/>
        <s v="Front End" u="1"/>
        <s v="Business Analyst" u="1"/>
        <s v="Marketing" u="1"/>
        <s v="Discovery" u="1"/>
      </sharedItems>
    </cacheField>
    <cacheField name="Long Rate Name" numFmtId="0">
      <sharedItems containsMixedTypes="1" containsNumber="1" minValue="0" maxValue="0.2" count="8">
        <s v="Clarity Connect Software License (typically $17,000)"/>
        <s v="Integration Hourly Rate ($175/hr. for post-pay)"/>
        <s v="Quality Assurance (typically 15%, 10% for FE-only projects)"/>
        <s v="5-10% based on project size, client (person, team, committee)"/>
        <s v="Project Management (20% &lt; $75k, 15% &gt; $75k)"/>
        <n v="0" u="1"/>
        <n v="0.2" u="1"/>
        <n v="0.1" u="1"/>
      </sharedItems>
    </cacheField>
    <cacheField name="P1%" numFmtId="9">
      <sharedItems containsNonDate="0" containsString="0" containsBlank="1"/>
    </cacheField>
    <cacheField name="P2%" numFmtId="9">
      <sharedItems containsSemiMixedTypes="0" containsString="0" containsNumber="1" containsInteger="1" minValue="1" maxValue="1"/>
    </cacheField>
    <cacheField name="P3%" numFmtId="9">
      <sharedItems containsNonDate="0" containsString="0" containsBlank="1"/>
    </cacheField>
    <cacheField name="P1LOW" numFmtId="0">
      <sharedItems containsSemiMixedTypes="0" containsString="0" containsNumber="1" containsInteger="1" minValue="0" maxValue="0"/>
    </cacheField>
    <cacheField name="P1HI" numFmtId="0">
      <sharedItems containsSemiMixedTypes="0" containsString="0" containsNumber="1" containsInteger="1" minValue="0" maxValue="0"/>
    </cacheField>
    <cacheField name="P1COSTLO" numFmtId="0">
      <sharedItems containsSemiMixedTypes="0" containsString="0" containsNumber="1" containsInteger="1" minValue="0" maxValue="0"/>
    </cacheField>
    <cacheField name="P1COSTHI" numFmtId="0">
      <sharedItems containsSemiMixedTypes="0" containsString="0" containsNumber="1" containsInteger="1" minValue="0" maxValue="0"/>
    </cacheField>
    <cacheField name="P2LOW" numFmtId="0">
      <sharedItems containsSemiMixedTypes="0" containsString="0" containsNumber="1" containsInteger="1" minValue="0" maxValue="13"/>
    </cacheField>
    <cacheField name="P2HI" numFmtId="0">
      <sharedItems containsSemiMixedTypes="0" containsString="0" containsNumber="1" containsInteger="1" minValue="0" maxValue="13"/>
    </cacheField>
    <cacheField name="P2COSTLO" numFmtId="0">
      <sharedItems containsSemiMixedTypes="0" containsString="0" containsNumber="1" containsInteger="1" minValue="0" maxValue="17100"/>
    </cacheField>
    <cacheField name="P2COSTHI" numFmtId="0">
      <sharedItems containsSemiMixedTypes="0" containsString="0" containsNumber="1" containsInteger="1" minValue="0" maxValue="17100"/>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0">
      <sharedItems containsSemiMixedTypes="0" containsString="0" containsNumber="1" containsInteger="1" minValue="0" maxValue="0"/>
    </cacheField>
    <cacheField name="P3COSTHI" numFmtId="0">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48010879633" createdVersion="6" refreshedVersion="7"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4">
        <n v="5"/>
        <n v="6"/>
        <n v="7"/>
        <n v="8"/>
        <n v="9"/>
        <n v="10"/>
        <n v="11"/>
        <n v="12"/>
        <n v="13"/>
        <n v="14"/>
        <n v="15"/>
        <n v="16"/>
        <n v="17"/>
        <n v="18"/>
        <n v="19"/>
        <n v="20"/>
        <n v="21"/>
        <n v="22"/>
        <n v="23"/>
        <n v="24"/>
        <n v="90"/>
        <n v="91"/>
        <n v="92"/>
        <n v="93"/>
        <n v="0" u="1"/>
        <n v="2" u="1"/>
        <n v="99" u="1"/>
        <n v="1" u="1"/>
        <n v="3" u="1"/>
        <n v="25" u="1"/>
        <n v="26" u="1"/>
        <n v="27" u="1"/>
        <n v="28" u="1"/>
        <n v="4" u="1"/>
      </sharedItems>
    </cacheField>
    <cacheField name="Month Name" numFmtId="0">
      <sharedItems count="18">
        <s v="May"/>
        <s v="June"/>
        <s v="July"/>
        <s v="August"/>
        <s v="September"/>
        <s v="October"/>
        <s v="November"/>
        <s v="December"/>
        <s v="January"/>
        <s v="February"/>
        <s v="March"/>
        <s v="April"/>
        <s v="Variance - 1"/>
        <s v="Variance - 2"/>
        <s v="Variance - 3"/>
        <s v="Variance - 4"/>
        <e v="#N/A" u="1"/>
        <s v="Variance" u="1"/>
      </sharedItems>
    </cacheField>
    <cacheField name="Ignore1" numFmtId="0">
      <sharedItems containsSemiMixedTypes="0" containsString="0" containsNumber="1" containsInteger="1" minValue="0" maxValue="4"/>
    </cacheField>
    <cacheField name="Ignore2" numFmtId="0">
      <sharedItems containsSemiMixedTypes="0" containsString="0" containsNumber="1" containsInteger="1" minValue="-71" maxValue="9"/>
    </cacheField>
    <cacheField name="Ignore3" numFmtId="0">
      <sharedItems containsSemiMixedTypes="0" containsString="0" containsNumber="1" containsInteger="1" minValue="-71" maxValue="1"/>
    </cacheField>
    <cacheField name="P1Cost" numFmtId="44">
      <sharedItems containsSemiMixedTypes="0" containsString="0" containsNumber="1" containsInteger="1" minValue="0" maxValue="0"/>
    </cacheField>
    <cacheField name="P2Cost" numFmtId="44">
      <sharedItems containsString="0" containsBlank="1" containsNumber="1" containsInteger="1" minValue="0" maxValue="2500"/>
    </cacheField>
    <cacheField name="P3Cost" numFmtId="44">
      <sharedItems containsString="0" containsBlank="1" containsNumber="1" containsInteger="1" minValue="0" maxValue="0"/>
    </cacheField>
    <cacheField name="Cost" numFmtId="44">
      <sharedItems containsSemiMixedTypes="0" containsString="0" containsNumber="1" containsInteger="1" minValue="0" maxValue="2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Clarity Connect License (Core Modules)"/>
    <s v="CL"/>
    <m/>
    <m/>
    <n v="17100"/>
    <n v="17100"/>
    <s v="Red"/>
    <x v="0"/>
    <x v="0"/>
    <m/>
    <n v="1"/>
    <m/>
    <n v="0"/>
    <n v="0"/>
    <n v="0"/>
    <n v="0"/>
    <n v="0"/>
    <n v="0"/>
    <n v="17100"/>
    <n v="17100"/>
    <n v="0"/>
    <n v="0"/>
    <n v="0"/>
    <n v="0"/>
    <s v="*One-time base license for the Clarity Connect platform. Includes any connectors for the CRM/ERP/EMR that we're trying to connect to if they already exist. _x000a__x000a_**Annual maintenance can be purchased for 30% of the cost of the license. This includes a small bucket of hours which can be used for tech support, training, enhancements, etc. Additional hours may be purchased at the standard rates."/>
  </r>
  <r>
    <s v="   - 1st Application integrated"/>
    <s v="CL"/>
    <m/>
    <n v="0"/>
    <n v="0"/>
    <n v="0"/>
    <s v="Red"/>
    <x v="0"/>
    <x v="0"/>
    <m/>
    <n v="1"/>
    <m/>
    <n v="0"/>
    <n v="0"/>
    <n v="0"/>
    <n v="0"/>
    <n v="0"/>
    <n v="0"/>
    <n v="0"/>
    <n v="0"/>
    <n v="0"/>
    <n v="0"/>
    <n v="0"/>
    <n v="0"/>
    <s v="*&lt;FIRST APPLICATION&gt;"/>
  </r>
  <r>
    <s v="   - 2nd Application integrated"/>
    <s v="CL"/>
    <m/>
    <n v="0"/>
    <n v="0"/>
    <n v="0"/>
    <s v="Red"/>
    <x v="0"/>
    <x v="0"/>
    <m/>
    <n v="1"/>
    <m/>
    <n v="0"/>
    <n v="0"/>
    <n v="0"/>
    <n v="0"/>
    <n v="0"/>
    <n v="0"/>
    <n v="0"/>
    <n v="0"/>
    <n v="0"/>
    <n v="0"/>
    <n v="0"/>
    <n v="0"/>
    <s v="*&lt;SECOND APPLICATION&gt;"/>
  </r>
  <r>
    <s v="Basic Connect Client configuration package"/>
    <s v="i"/>
    <m/>
    <n v="0"/>
    <n v="0"/>
    <n v="0"/>
    <s v="Orange"/>
    <x v="1"/>
    <x v="1"/>
    <m/>
    <n v="1"/>
    <m/>
    <n v="0"/>
    <n v="0"/>
    <n v="0"/>
    <n v="0"/>
    <n v="0"/>
    <n v="0"/>
    <n v="0"/>
    <n v="0"/>
    <n v="0"/>
    <n v="0"/>
    <n v="0"/>
    <n v="0"/>
    <s v="*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
  </r>
  <r>
    <s v="Basic Connect installation (Dev)"/>
    <s v="i"/>
    <m/>
    <n v="0"/>
    <n v="0"/>
    <n v="0"/>
    <s v="Orange"/>
    <x v="1"/>
    <x v="1"/>
    <m/>
    <n v="1"/>
    <m/>
    <n v="0"/>
    <n v="0"/>
    <n v="0"/>
    <n v="0"/>
    <n v="0"/>
    <n v="0"/>
    <n v="0"/>
    <n v="0"/>
    <n v="0"/>
    <n v="0"/>
    <n v="0"/>
    <n v="0"/>
    <s v="*included - Clarity will install (in the dev environment), the basic OOTB Connect installation. The client will be responsible for providing credentials/access to a test account or environment for the applications being connected."/>
  </r>
  <r>
    <s v="Basic Connect configuration"/>
    <s v="i"/>
    <m/>
    <n v="0"/>
    <n v="0"/>
    <n v="0"/>
    <s v="Orange"/>
    <x v="1"/>
    <x v="1"/>
    <m/>
    <n v="1"/>
    <m/>
    <n v="0"/>
    <n v="0"/>
    <n v="0"/>
    <n v="0"/>
    <n v="0"/>
    <n v="0"/>
    <n v="0"/>
    <n v="0"/>
    <n v="0"/>
    <n v="0"/>
    <n v="0"/>
    <n v="0"/>
    <s v="*included - There are numerous features that are configurable based on where the solution will be installed, what queue and database will be used, etc. This line item will be used to set up those basic features."/>
  </r>
  <r>
    <s v="Basic Connect QA (validation of features, etc.)"/>
    <s v="i"/>
    <m/>
    <m/>
    <n v="0"/>
    <n v="0"/>
    <s v="Orange"/>
    <x v="1"/>
    <x v="1"/>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i"/>
    <m/>
    <n v="0"/>
    <n v="0"/>
    <n v="0"/>
    <s v="Orange"/>
    <x v="1"/>
    <x v="1"/>
    <m/>
    <n v="1"/>
    <m/>
    <n v="0"/>
    <n v="0"/>
    <n v="0"/>
    <n v="0"/>
    <n v="0"/>
    <n v="0"/>
    <n v="0"/>
    <n v="0"/>
    <n v="0"/>
    <n v="0"/>
    <n v="0"/>
    <n v="0"/>
    <s v="*included - Once the site has passed UAT, Clarity will push the install to production. **This may be variable if the client wants a more complex hosting environment set up (i.e. behind their DMZ, custom queue or database, etc.). If the client chooses an outside hosting provider (themselves, AWS, Azure, etc.), then the client is responsible for any hosting fees."/>
  </r>
  <r>
    <s v="Integration customizations"/>
    <s v="i"/>
    <n v="13"/>
    <n v="13"/>
    <n v="1950"/>
    <n v="1950"/>
    <s v="Orange"/>
    <x v="1"/>
    <x v="1"/>
    <m/>
    <n v="1"/>
    <m/>
    <n v="0"/>
    <n v="0"/>
    <n v="0"/>
    <n v="0"/>
    <n v="13"/>
    <n v="13"/>
    <n v="1950"/>
    <n v="1950"/>
    <n v="0"/>
    <n v="0"/>
    <n v="0"/>
    <n v="0"/>
    <s v="*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_x000a__x000a_Removed from the total project hours"/>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m/>
    <s v="i"/>
    <m/>
    <n v="0"/>
    <n v="0"/>
    <n v="0"/>
    <s v="Orange"/>
    <x v="1"/>
    <x v="1"/>
    <m/>
    <n v="1"/>
    <m/>
    <n v="0"/>
    <n v="0"/>
    <n v="0"/>
    <n v="0"/>
    <n v="0"/>
    <n v="0"/>
    <n v="0"/>
    <n v="0"/>
    <n v="0"/>
    <n v="0"/>
    <n v="0"/>
    <n v="0"/>
    <m/>
  </r>
  <r>
    <s v="QA, Bug Fix, User Story testing"/>
    <s v="QA"/>
    <n v="2"/>
    <n v="2"/>
    <n v="300"/>
    <n v="300"/>
    <s v="Dark Yellow"/>
    <x v="2"/>
    <x v="2"/>
    <m/>
    <n v="1"/>
    <m/>
    <n v="0"/>
    <n v="0"/>
    <n v="0"/>
    <n v="0"/>
    <n v="2"/>
    <n v="2"/>
    <n v="300"/>
    <n v="300"/>
    <n v="0"/>
    <n v="0"/>
    <n v="0"/>
    <n v="0"/>
    <s v="*Unit and pre-launch use case testing"/>
  </r>
  <r>
    <s v="Meetings"/>
    <s v="MTG"/>
    <n v="1"/>
    <n v="1"/>
    <n v="150"/>
    <n v="150"/>
    <s v="Blue"/>
    <x v="3"/>
    <x v="3"/>
    <m/>
    <n v="1"/>
    <m/>
    <n v="0"/>
    <n v="0"/>
    <n v="0"/>
    <n v="0"/>
    <n v="1"/>
    <n v="1"/>
    <n v="150"/>
    <n v="150"/>
    <n v="0"/>
    <n v="0"/>
    <n v="0"/>
    <n v="0"/>
    <s v="*Depends on clients' needs (more meetings, more people = more time)"/>
  </r>
  <r>
    <s v="Project Management"/>
    <s v="PM"/>
    <n v="4"/>
    <n v="4"/>
    <n v="500"/>
    <n v="500"/>
    <s v="Dark Green"/>
    <x v="4"/>
    <x v="4"/>
    <m/>
    <n v="1"/>
    <m/>
    <n v="0"/>
    <n v="0"/>
    <n v="0"/>
    <n v="0"/>
    <n v="4"/>
    <n v="4"/>
    <n v="500"/>
    <n v="500"/>
    <n v="0"/>
    <n v="0"/>
    <n v="0"/>
    <n v="0"/>
    <s v="*Clarity Project Management, Invoicing, Sprint planning, Gantt, etc."/>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4"/>
    <n v="9"/>
    <n v="1"/>
    <n v="0"/>
    <m/>
    <m/>
    <n v="0"/>
  </r>
  <r>
    <s v="Week 2"/>
    <x v="0"/>
    <x v="0"/>
    <n v="3"/>
    <n v="9"/>
    <n v="1"/>
    <n v="0"/>
    <n v="0"/>
    <n v="0"/>
    <n v="0"/>
  </r>
  <r>
    <s v="Week 3"/>
    <x v="0"/>
    <x v="0"/>
    <n v="2"/>
    <n v="9"/>
    <n v="1"/>
    <n v="0"/>
    <n v="0"/>
    <n v="0"/>
    <n v="0"/>
  </r>
  <r>
    <s v="Week 4"/>
    <x v="0"/>
    <x v="0"/>
    <n v="1"/>
    <n v="9"/>
    <n v="1"/>
    <n v="0"/>
    <n v="0"/>
    <n v="0"/>
    <n v="0"/>
  </r>
  <r>
    <s v="Week 5"/>
    <x v="1"/>
    <x v="1"/>
    <n v="0"/>
    <n v="8"/>
    <n v="1"/>
    <n v="0"/>
    <n v="2500"/>
    <n v="0"/>
    <n v="2500"/>
  </r>
  <r>
    <s v="Week 6"/>
    <x v="1"/>
    <x v="1"/>
    <n v="0"/>
    <n v="7"/>
    <n v="1"/>
    <n v="0"/>
    <n v="2500"/>
    <n v="0"/>
    <n v="2500"/>
  </r>
  <r>
    <s v="Week 7"/>
    <x v="1"/>
    <x v="1"/>
    <n v="0"/>
    <n v="6"/>
    <n v="1"/>
    <n v="0"/>
    <n v="2500"/>
    <n v="0"/>
    <n v="2500"/>
  </r>
  <r>
    <s v="Week 8"/>
    <x v="1"/>
    <x v="1"/>
    <n v="0"/>
    <n v="5"/>
    <n v="1"/>
    <n v="0"/>
    <n v="2500"/>
    <n v="0"/>
    <n v="2500"/>
  </r>
  <r>
    <s v="Week 9"/>
    <x v="2"/>
    <x v="2"/>
    <n v="0"/>
    <n v="4"/>
    <n v="1"/>
    <n v="0"/>
    <n v="2500"/>
    <n v="0"/>
    <n v="2500"/>
  </r>
  <r>
    <s v="Week 10"/>
    <x v="2"/>
    <x v="2"/>
    <n v="0"/>
    <n v="3"/>
    <n v="1"/>
    <n v="0"/>
    <n v="2500"/>
    <n v="0"/>
    <n v="2500"/>
  </r>
  <r>
    <s v="Week 11"/>
    <x v="2"/>
    <x v="2"/>
    <n v="0"/>
    <n v="2"/>
    <n v="1"/>
    <n v="0"/>
    <n v="2500"/>
    <n v="0"/>
    <n v="2500"/>
  </r>
  <r>
    <s v="Week 12"/>
    <x v="2"/>
    <x v="2"/>
    <n v="0"/>
    <n v="1"/>
    <n v="1"/>
    <n v="0"/>
    <n v="2500"/>
    <n v="0"/>
    <n v="2500"/>
  </r>
  <r>
    <s v="Week 13"/>
    <x v="3"/>
    <x v="3"/>
    <n v="0"/>
    <n v="0"/>
    <n v="0"/>
    <n v="0"/>
    <n v="0"/>
    <n v="0"/>
    <n v="0"/>
  </r>
  <r>
    <s v="Week 14"/>
    <x v="3"/>
    <x v="3"/>
    <n v="0"/>
    <n v="-1"/>
    <n v="-1"/>
    <n v="0"/>
    <n v="0"/>
    <n v="0"/>
    <n v="0"/>
  </r>
  <r>
    <s v="Week 15"/>
    <x v="3"/>
    <x v="3"/>
    <n v="0"/>
    <n v="-2"/>
    <n v="-2"/>
    <n v="0"/>
    <n v="0"/>
    <n v="0"/>
    <n v="0"/>
  </r>
  <r>
    <s v="Week 16"/>
    <x v="3"/>
    <x v="3"/>
    <n v="0"/>
    <n v="-3"/>
    <n v="-3"/>
    <n v="0"/>
    <n v="0"/>
    <n v="0"/>
    <n v="0"/>
  </r>
  <r>
    <s v="Week 17"/>
    <x v="4"/>
    <x v="4"/>
    <n v="0"/>
    <n v="-4"/>
    <n v="-4"/>
    <n v="0"/>
    <n v="0"/>
    <n v="0"/>
    <n v="0"/>
  </r>
  <r>
    <s v="Week 18"/>
    <x v="4"/>
    <x v="4"/>
    <n v="0"/>
    <n v="-5"/>
    <n v="-5"/>
    <n v="0"/>
    <n v="0"/>
    <n v="0"/>
    <n v="0"/>
  </r>
  <r>
    <s v="Week 19"/>
    <x v="4"/>
    <x v="4"/>
    <n v="0"/>
    <n v="-6"/>
    <n v="-6"/>
    <n v="0"/>
    <n v="0"/>
    <n v="0"/>
    <n v="0"/>
  </r>
  <r>
    <s v="Week 20"/>
    <x v="4"/>
    <x v="4"/>
    <n v="0"/>
    <n v="-7"/>
    <n v="-7"/>
    <n v="0"/>
    <n v="0"/>
    <n v="0"/>
    <n v="0"/>
  </r>
  <r>
    <s v="Week 21"/>
    <x v="5"/>
    <x v="5"/>
    <n v="0"/>
    <n v="-8"/>
    <n v="-8"/>
    <n v="0"/>
    <n v="0"/>
    <n v="0"/>
    <n v="0"/>
  </r>
  <r>
    <s v="Week 22"/>
    <x v="5"/>
    <x v="5"/>
    <n v="0"/>
    <n v="-9"/>
    <n v="-9"/>
    <n v="0"/>
    <n v="0"/>
    <n v="0"/>
    <n v="0"/>
  </r>
  <r>
    <s v="Week 23"/>
    <x v="5"/>
    <x v="5"/>
    <n v="0"/>
    <n v="-10"/>
    <n v="-10"/>
    <n v="0"/>
    <n v="0"/>
    <n v="0"/>
    <n v="0"/>
  </r>
  <r>
    <s v="Week 24"/>
    <x v="5"/>
    <x v="5"/>
    <n v="0"/>
    <n v="-11"/>
    <n v="-11"/>
    <n v="0"/>
    <n v="0"/>
    <n v="0"/>
    <n v="0"/>
  </r>
  <r>
    <s v="Week 25"/>
    <x v="6"/>
    <x v="6"/>
    <n v="0"/>
    <n v="-12"/>
    <n v="-12"/>
    <n v="0"/>
    <n v="0"/>
    <n v="0"/>
    <n v="0"/>
  </r>
  <r>
    <s v="Week 26"/>
    <x v="6"/>
    <x v="6"/>
    <n v="0"/>
    <n v="-13"/>
    <n v="-13"/>
    <n v="0"/>
    <n v="0"/>
    <n v="0"/>
    <n v="0"/>
  </r>
  <r>
    <s v="Week 27"/>
    <x v="6"/>
    <x v="6"/>
    <n v="0"/>
    <n v="-14"/>
    <n v="-14"/>
    <n v="0"/>
    <n v="0"/>
    <n v="0"/>
    <n v="0"/>
  </r>
  <r>
    <s v="Week 28"/>
    <x v="6"/>
    <x v="6"/>
    <n v="0"/>
    <n v="-15"/>
    <n v="-15"/>
    <n v="0"/>
    <n v="0"/>
    <n v="0"/>
    <n v="0"/>
  </r>
  <r>
    <s v="Week 29"/>
    <x v="7"/>
    <x v="7"/>
    <n v="0"/>
    <n v="-16"/>
    <n v="-16"/>
    <n v="0"/>
    <n v="0"/>
    <n v="0"/>
    <n v="0"/>
  </r>
  <r>
    <s v="Week 30"/>
    <x v="7"/>
    <x v="7"/>
    <n v="0"/>
    <n v="-17"/>
    <n v="-17"/>
    <n v="0"/>
    <n v="0"/>
    <n v="0"/>
    <n v="0"/>
  </r>
  <r>
    <s v="Week 31"/>
    <x v="7"/>
    <x v="7"/>
    <n v="0"/>
    <n v="-18"/>
    <n v="-18"/>
    <n v="0"/>
    <n v="0"/>
    <n v="0"/>
    <n v="0"/>
  </r>
  <r>
    <s v="Week 32"/>
    <x v="7"/>
    <x v="7"/>
    <n v="0"/>
    <n v="-19"/>
    <n v="-19"/>
    <n v="0"/>
    <n v="0"/>
    <n v="0"/>
    <n v="0"/>
  </r>
  <r>
    <s v="Week 33"/>
    <x v="8"/>
    <x v="8"/>
    <n v="0"/>
    <n v="-20"/>
    <n v="-20"/>
    <n v="0"/>
    <n v="0"/>
    <n v="0"/>
    <n v="0"/>
  </r>
  <r>
    <s v="Week 34"/>
    <x v="8"/>
    <x v="8"/>
    <n v="0"/>
    <n v="-21"/>
    <n v="-21"/>
    <n v="0"/>
    <n v="0"/>
    <n v="0"/>
    <n v="0"/>
  </r>
  <r>
    <s v="Week 35"/>
    <x v="8"/>
    <x v="8"/>
    <n v="0"/>
    <n v="-22"/>
    <n v="-22"/>
    <n v="0"/>
    <n v="0"/>
    <n v="0"/>
    <n v="0"/>
  </r>
  <r>
    <s v="Week 36"/>
    <x v="8"/>
    <x v="8"/>
    <n v="0"/>
    <n v="-23"/>
    <n v="-23"/>
    <n v="0"/>
    <n v="0"/>
    <n v="0"/>
    <n v="0"/>
  </r>
  <r>
    <s v="Week 37"/>
    <x v="9"/>
    <x v="9"/>
    <n v="0"/>
    <n v="-24"/>
    <n v="-24"/>
    <n v="0"/>
    <n v="0"/>
    <n v="0"/>
    <n v="0"/>
  </r>
  <r>
    <s v="Week 38"/>
    <x v="9"/>
    <x v="9"/>
    <n v="0"/>
    <n v="-25"/>
    <n v="-25"/>
    <n v="0"/>
    <n v="0"/>
    <n v="0"/>
    <n v="0"/>
  </r>
  <r>
    <s v="Week 39"/>
    <x v="9"/>
    <x v="9"/>
    <n v="0"/>
    <n v="-26"/>
    <n v="-26"/>
    <n v="0"/>
    <n v="0"/>
    <n v="0"/>
    <n v="0"/>
  </r>
  <r>
    <s v="Week 40"/>
    <x v="9"/>
    <x v="9"/>
    <n v="0"/>
    <n v="-27"/>
    <n v="-27"/>
    <n v="0"/>
    <n v="0"/>
    <n v="0"/>
    <n v="0"/>
  </r>
  <r>
    <s v="Week 41"/>
    <x v="10"/>
    <x v="10"/>
    <n v="0"/>
    <n v="-28"/>
    <n v="-28"/>
    <n v="0"/>
    <n v="0"/>
    <n v="0"/>
    <n v="0"/>
  </r>
  <r>
    <s v="Week 42"/>
    <x v="10"/>
    <x v="10"/>
    <n v="0"/>
    <n v="-29"/>
    <n v="-29"/>
    <n v="0"/>
    <n v="0"/>
    <n v="0"/>
    <n v="0"/>
  </r>
  <r>
    <s v="Week 43"/>
    <x v="10"/>
    <x v="10"/>
    <n v="0"/>
    <n v="-30"/>
    <n v="-30"/>
    <n v="0"/>
    <n v="0"/>
    <n v="0"/>
    <n v="0"/>
  </r>
  <r>
    <s v="Week 44"/>
    <x v="10"/>
    <x v="10"/>
    <n v="0"/>
    <n v="-31"/>
    <n v="-31"/>
    <n v="0"/>
    <n v="0"/>
    <n v="0"/>
    <n v="0"/>
  </r>
  <r>
    <s v="Week 45"/>
    <x v="11"/>
    <x v="11"/>
    <n v="0"/>
    <n v="-32"/>
    <n v="-32"/>
    <n v="0"/>
    <n v="0"/>
    <n v="0"/>
    <n v="0"/>
  </r>
  <r>
    <s v="Week 46"/>
    <x v="11"/>
    <x v="11"/>
    <n v="0"/>
    <n v="-33"/>
    <n v="-33"/>
    <n v="0"/>
    <n v="0"/>
    <n v="0"/>
    <n v="0"/>
  </r>
  <r>
    <s v="Week 47"/>
    <x v="11"/>
    <x v="11"/>
    <n v="0"/>
    <n v="-34"/>
    <n v="-34"/>
    <n v="0"/>
    <n v="0"/>
    <n v="0"/>
    <n v="0"/>
  </r>
  <r>
    <s v="Week 48"/>
    <x v="11"/>
    <x v="11"/>
    <n v="0"/>
    <n v="-35"/>
    <n v="-35"/>
    <n v="0"/>
    <n v="0"/>
    <n v="0"/>
    <n v="0"/>
  </r>
  <r>
    <s v="Week 49"/>
    <x v="12"/>
    <x v="0"/>
    <n v="0"/>
    <n v="-36"/>
    <n v="-36"/>
    <n v="0"/>
    <n v="0"/>
    <n v="0"/>
    <n v="0"/>
  </r>
  <r>
    <s v="Week 50"/>
    <x v="12"/>
    <x v="0"/>
    <n v="0"/>
    <n v="-37"/>
    <n v="-37"/>
    <n v="0"/>
    <n v="0"/>
    <n v="0"/>
    <n v="0"/>
  </r>
  <r>
    <s v="Week 51"/>
    <x v="12"/>
    <x v="0"/>
    <n v="0"/>
    <n v="-38"/>
    <n v="-38"/>
    <n v="0"/>
    <n v="0"/>
    <n v="0"/>
    <n v="0"/>
  </r>
  <r>
    <s v="Week 52"/>
    <x v="12"/>
    <x v="0"/>
    <n v="0"/>
    <n v="-39"/>
    <n v="-39"/>
    <n v="0"/>
    <n v="0"/>
    <n v="0"/>
    <n v="0"/>
  </r>
  <r>
    <s v="Week 53"/>
    <x v="13"/>
    <x v="1"/>
    <n v="0"/>
    <n v="-40"/>
    <n v="-40"/>
    <n v="0"/>
    <n v="0"/>
    <n v="0"/>
    <n v="0"/>
  </r>
  <r>
    <s v="Week 54"/>
    <x v="13"/>
    <x v="1"/>
    <n v="0"/>
    <n v="-41"/>
    <n v="-41"/>
    <n v="0"/>
    <n v="0"/>
    <n v="0"/>
    <n v="0"/>
  </r>
  <r>
    <s v="Week 55"/>
    <x v="13"/>
    <x v="1"/>
    <n v="0"/>
    <n v="-42"/>
    <n v="-42"/>
    <n v="0"/>
    <n v="0"/>
    <n v="0"/>
    <n v="0"/>
  </r>
  <r>
    <s v="Week 56"/>
    <x v="13"/>
    <x v="1"/>
    <n v="0"/>
    <n v="-43"/>
    <n v="-43"/>
    <n v="0"/>
    <n v="0"/>
    <n v="0"/>
    <n v="0"/>
  </r>
  <r>
    <s v="Week 57"/>
    <x v="14"/>
    <x v="2"/>
    <n v="0"/>
    <n v="-44"/>
    <n v="-44"/>
    <n v="0"/>
    <n v="0"/>
    <n v="0"/>
    <n v="0"/>
  </r>
  <r>
    <s v="Week 58"/>
    <x v="14"/>
    <x v="2"/>
    <n v="0"/>
    <n v="-45"/>
    <n v="-45"/>
    <n v="0"/>
    <n v="0"/>
    <n v="0"/>
    <n v="0"/>
  </r>
  <r>
    <s v="Week 59"/>
    <x v="14"/>
    <x v="2"/>
    <n v="0"/>
    <n v="-46"/>
    <n v="-46"/>
    <n v="0"/>
    <n v="0"/>
    <n v="0"/>
    <n v="0"/>
  </r>
  <r>
    <s v="Week 60"/>
    <x v="14"/>
    <x v="2"/>
    <n v="0"/>
    <n v="-47"/>
    <n v="-47"/>
    <n v="0"/>
    <n v="0"/>
    <n v="0"/>
    <n v="0"/>
  </r>
  <r>
    <s v="Week 61"/>
    <x v="15"/>
    <x v="3"/>
    <n v="0"/>
    <n v="-48"/>
    <n v="-48"/>
    <n v="0"/>
    <n v="0"/>
    <n v="0"/>
    <n v="0"/>
  </r>
  <r>
    <s v="Week 62"/>
    <x v="15"/>
    <x v="3"/>
    <n v="0"/>
    <n v="-49"/>
    <n v="-49"/>
    <n v="0"/>
    <n v="0"/>
    <n v="0"/>
    <n v="0"/>
  </r>
  <r>
    <s v="Week 63"/>
    <x v="15"/>
    <x v="3"/>
    <n v="0"/>
    <n v="-50"/>
    <n v="-50"/>
    <n v="0"/>
    <n v="0"/>
    <n v="0"/>
    <n v="0"/>
  </r>
  <r>
    <s v="Week 64"/>
    <x v="15"/>
    <x v="3"/>
    <n v="0"/>
    <n v="-51"/>
    <n v="-51"/>
    <n v="0"/>
    <n v="0"/>
    <n v="0"/>
    <n v="0"/>
  </r>
  <r>
    <s v="Week 65"/>
    <x v="16"/>
    <x v="4"/>
    <n v="0"/>
    <n v="-52"/>
    <n v="-52"/>
    <n v="0"/>
    <n v="0"/>
    <n v="0"/>
    <n v="0"/>
  </r>
  <r>
    <s v="Week 66"/>
    <x v="16"/>
    <x v="4"/>
    <n v="0"/>
    <n v="-53"/>
    <n v="-53"/>
    <n v="0"/>
    <n v="0"/>
    <n v="0"/>
    <n v="0"/>
  </r>
  <r>
    <s v="Week 67"/>
    <x v="16"/>
    <x v="4"/>
    <n v="0"/>
    <n v="-54"/>
    <n v="-54"/>
    <n v="0"/>
    <n v="0"/>
    <n v="0"/>
    <n v="0"/>
  </r>
  <r>
    <s v="Week 68"/>
    <x v="16"/>
    <x v="4"/>
    <n v="0"/>
    <n v="-55"/>
    <n v="-55"/>
    <n v="0"/>
    <n v="0"/>
    <n v="0"/>
    <n v="0"/>
  </r>
  <r>
    <s v="Week 69"/>
    <x v="17"/>
    <x v="5"/>
    <n v="0"/>
    <n v="-56"/>
    <n v="-56"/>
    <n v="0"/>
    <n v="0"/>
    <n v="0"/>
    <n v="0"/>
  </r>
  <r>
    <s v="Week 70"/>
    <x v="17"/>
    <x v="5"/>
    <n v="0"/>
    <n v="-57"/>
    <n v="-57"/>
    <n v="0"/>
    <n v="0"/>
    <n v="0"/>
    <n v="0"/>
  </r>
  <r>
    <s v="Week 71"/>
    <x v="17"/>
    <x v="5"/>
    <n v="0"/>
    <n v="-58"/>
    <n v="-58"/>
    <n v="0"/>
    <n v="0"/>
    <n v="0"/>
    <n v="0"/>
  </r>
  <r>
    <s v="Week 72"/>
    <x v="17"/>
    <x v="5"/>
    <n v="0"/>
    <n v="-59"/>
    <n v="-59"/>
    <n v="0"/>
    <n v="0"/>
    <n v="0"/>
    <n v="0"/>
  </r>
  <r>
    <s v="Week 73"/>
    <x v="18"/>
    <x v="6"/>
    <n v="0"/>
    <n v="-60"/>
    <n v="-60"/>
    <n v="0"/>
    <n v="0"/>
    <n v="0"/>
    <n v="0"/>
  </r>
  <r>
    <s v="Week 74"/>
    <x v="18"/>
    <x v="6"/>
    <n v="0"/>
    <n v="-61"/>
    <n v="-61"/>
    <n v="0"/>
    <n v="0"/>
    <n v="0"/>
    <n v="0"/>
  </r>
  <r>
    <s v="Week 75"/>
    <x v="18"/>
    <x v="6"/>
    <n v="0"/>
    <n v="-62"/>
    <n v="-62"/>
    <n v="0"/>
    <n v="0"/>
    <n v="0"/>
    <n v="0"/>
  </r>
  <r>
    <s v="Week 76"/>
    <x v="18"/>
    <x v="6"/>
    <n v="0"/>
    <n v="-63"/>
    <n v="-63"/>
    <n v="0"/>
    <n v="0"/>
    <n v="0"/>
    <n v="0"/>
  </r>
  <r>
    <s v="Week 77"/>
    <x v="19"/>
    <x v="7"/>
    <n v="0"/>
    <n v="-64"/>
    <n v="-64"/>
    <n v="0"/>
    <n v="0"/>
    <n v="0"/>
    <n v="0"/>
  </r>
  <r>
    <s v="Week 78"/>
    <x v="19"/>
    <x v="7"/>
    <n v="0"/>
    <n v="-65"/>
    <n v="-65"/>
    <n v="0"/>
    <n v="0"/>
    <n v="0"/>
    <n v="0"/>
  </r>
  <r>
    <s v="Week 79"/>
    <x v="19"/>
    <x v="7"/>
    <n v="0"/>
    <n v="-66"/>
    <n v="-66"/>
    <n v="0"/>
    <n v="0"/>
    <n v="0"/>
    <n v="0"/>
  </r>
  <r>
    <s v="Week 80"/>
    <x v="19"/>
    <x v="7"/>
    <n v="0"/>
    <n v="-67"/>
    <n v="-67"/>
    <n v="0"/>
    <n v="0"/>
    <n v="0"/>
    <n v="0"/>
  </r>
  <r>
    <s v="Variance 1"/>
    <x v="20"/>
    <x v="12"/>
    <n v="0"/>
    <n v="-68"/>
    <n v="-68"/>
    <n v="0"/>
    <n v="0"/>
    <n v="0"/>
    <n v="0"/>
  </r>
  <r>
    <s v="Variance 2"/>
    <x v="21"/>
    <x v="13"/>
    <n v="0"/>
    <n v="-69"/>
    <n v="-69"/>
    <n v="0"/>
    <n v="0"/>
    <n v="0"/>
    <n v="0"/>
  </r>
  <r>
    <s v="Variance 3"/>
    <x v="22"/>
    <x v="14"/>
    <n v="0"/>
    <n v="-70"/>
    <n v="-70"/>
    <n v="0"/>
    <n v="0"/>
    <n v="0"/>
    <n v="0"/>
  </r>
  <r>
    <s v="Variance 4"/>
    <x v="23"/>
    <x v="15"/>
    <n v="0"/>
    <n v="-71"/>
    <n v="-71"/>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4"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2:Q8"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1">
        <item m="1" x="6"/>
        <item m="1" x="10"/>
        <item m="1" x="7"/>
        <item x="1"/>
        <item x="0"/>
        <item x="3"/>
        <item x="4"/>
        <item x="2"/>
        <item m="1" x="9"/>
        <item m="1" x="8"/>
        <item m="1" x="5"/>
      </items>
    </pivotField>
    <pivotField showAll="0" measureFilter="1" sortType="ascending">
      <items count="9">
        <item m="1" x="5"/>
        <item m="1" x="7"/>
        <item m="1" x="6"/>
        <item x="3"/>
        <item x="0"/>
        <item x="1"/>
        <item x="4"/>
        <item x="2"/>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6">
    <i>
      <x v="3"/>
    </i>
    <i>
      <x v="4"/>
    </i>
    <i>
      <x v="5"/>
    </i>
    <i>
      <x v="6"/>
    </i>
    <i>
      <x v="7"/>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203">
      <pivotArea field="8" grandRow="1" outline="0" collapsedLevelsAreSubtotals="1">
        <references count="1">
          <reference field="4294967294" count="4" selected="0">
            <x v="6"/>
            <x v="7"/>
            <x v="10"/>
            <x v="11"/>
          </reference>
        </references>
      </pivotArea>
    </format>
    <format dxfId="202">
      <pivotArea outline="0" collapsedLevelsAreSubtotals="1" fieldPosition="0">
        <references count="1">
          <reference field="4294967294" count="6" selected="0">
            <x v="2"/>
            <x v="3"/>
            <x v="6"/>
            <x v="7"/>
            <x v="10"/>
            <x v="11"/>
          </reference>
        </references>
      </pivotArea>
    </format>
    <format dxfId="201">
      <pivotArea outline="0" collapsedLevelsAreSubtotals="1" fieldPosition="0">
        <references count="1">
          <reference field="4294967294" count="6" selected="0">
            <x v="2"/>
            <x v="3"/>
            <x v="6"/>
            <x v="7"/>
            <x v="10"/>
            <x v="11"/>
          </reference>
        </references>
      </pivotArea>
    </format>
    <format dxfId="200">
      <pivotArea outline="0" collapsedLevelsAreSubtotals="1" fieldPosition="0">
        <references count="1">
          <reference field="4294967294" count="6" selected="0">
            <x v="2"/>
            <x v="3"/>
            <x v="6"/>
            <x v="7"/>
            <x v="10"/>
            <x v="11"/>
          </reference>
        </references>
      </pivotArea>
    </format>
    <format dxfId="199">
      <pivotArea outline="0" collapsedLevelsAreSubtotals="1" fieldPosition="0">
        <references count="1">
          <reference field="4294967294" count="6" selected="0">
            <x v="2"/>
            <x v="3"/>
            <x v="6"/>
            <x v="7"/>
            <x v="10"/>
            <x v="11"/>
          </reference>
        </references>
      </pivotArea>
    </format>
    <format dxfId="198">
      <pivotArea outline="0" collapsedLevelsAreSubtotals="1" fieldPosition="0">
        <references count="1">
          <reference field="4294967294" count="6" selected="0">
            <x v="2"/>
            <x v="3"/>
            <x v="6"/>
            <x v="7"/>
            <x v="10"/>
            <x v="11"/>
          </reference>
        </references>
      </pivotArea>
    </format>
    <format dxfId="197">
      <pivotArea outline="0" collapsedLevelsAreSubtotals="1" fieldPosition="0">
        <references count="1">
          <reference field="4294967294" count="6" selected="0">
            <x v="2"/>
            <x v="3"/>
            <x v="6"/>
            <x v="7"/>
            <x v="10"/>
            <x v="11"/>
          </reference>
        </references>
      </pivotArea>
    </format>
    <format dxfId="196">
      <pivotArea type="origin" dataOnly="0" labelOnly="1" outline="0" fieldPosition="0"/>
    </format>
    <format dxfId="195">
      <pivotArea field="8" type="button" dataOnly="0" labelOnly="1" outline="0"/>
    </format>
    <format dxfId="194">
      <pivotArea field="-2" type="button" dataOnly="0" labelOnly="1" outline="0" axis="axisCol" fieldPosition="0"/>
    </format>
    <format dxfId="193">
      <pivotArea type="topRight" dataOnly="0" labelOnly="1" outline="0" fieldPosition="0"/>
    </format>
    <format dxfId="192">
      <pivotArea dataOnly="0" labelOnly="1" outline="0" fieldPosition="0">
        <references count="1">
          <reference field="4294967294" count="8">
            <x v="0"/>
            <x v="1"/>
            <x v="2"/>
            <x v="3"/>
            <x v="6"/>
            <x v="7"/>
            <x v="10"/>
            <x v="11"/>
          </reference>
        </references>
      </pivotArea>
    </format>
    <format dxfId="191">
      <pivotArea dataOnly="0" labelOnly="1" outline="0" fieldPosition="0">
        <references count="1">
          <reference field="4294967294" count="2">
            <x v="14"/>
            <x v="15"/>
          </reference>
        </references>
      </pivotArea>
    </format>
    <format dxfId="190">
      <pivotArea type="all" dataOnly="0" outline="0" fieldPosition="0"/>
    </format>
    <format dxfId="189">
      <pivotArea grandRow="1" outline="0" collapsedLevelsAreSubtotals="1" fieldPosition="0"/>
    </format>
    <format dxfId="188">
      <pivotArea dataOnly="0" labelOnly="1" grandRow="1" outline="0" fieldPosition="0"/>
    </format>
    <format dxfId="187">
      <pivotArea grandRow="1" outline="0" collapsedLevelsAreSubtotals="1" fieldPosition="0"/>
    </format>
    <format dxfId="186">
      <pivotArea dataOnly="0" labelOnly="1" grandRow="1" outline="0" fieldPosition="0"/>
    </format>
    <format dxfId="185">
      <pivotArea type="all" dataOnly="0" outline="0" fieldPosition="0"/>
    </format>
    <format dxfId="184">
      <pivotArea grandRow="1" outline="0" collapsedLevelsAreSubtotals="1" fieldPosition="0"/>
    </format>
    <format dxfId="183">
      <pivotArea dataOnly="0" labelOnly="1" grandRow="1" outline="0" fieldPosition="0"/>
    </format>
    <format dxfId="182">
      <pivotArea grandRow="1" outline="0" collapsedLevelsAreSubtotals="1" fieldPosition="0"/>
    </format>
    <format dxfId="181">
      <pivotArea dataOnly="0" labelOnly="1" grandRow="1" outline="0" fieldPosition="0"/>
    </format>
    <format dxfId="180">
      <pivotArea grandRow="1" outline="0" collapsedLevelsAreSubtotals="1" fieldPosition="0"/>
    </format>
    <format dxfId="179">
      <pivotArea dataOnly="0" labelOnly="1" grandRow="1" outline="0" fieldPosition="0"/>
    </format>
    <format dxfId="178">
      <pivotArea grandRow="1" outline="0" collapsedLevelsAreSubtotals="1" fieldPosition="0"/>
    </format>
    <format dxfId="177">
      <pivotArea dataOnly="0" labelOnly="1" grandRow="1" outline="0" fieldPosition="0"/>
    </format>
    <format dxfId="176">
      <pivotArea grandRow="1" outline="0" collapsedLevelsAreSubtotals="1" fieldPosition="0"/>
    </format>
    <format dxfId="175">
      <pivotArea dataOnly="0" labelOnly="1" grandRow="1" outline="0" fieldPosition="0"/>
    </format>
    <format dxfId="174">
      <pivotArea grandRow="1" outline="0" collapsedLevelsAreSubtotals="1" fieldPosition="0"/>
    </format>
    <format dxfId="173">
      <pivotArea dataOnly="0" labelOnly="1" grandRow="1" outline="0" fieldPosition="0"/>
    </format>
    <format dxfId="172">
      <pivotArea grandRow="1" outline="0" collapsedLevelsAreSubtotals="1" fieldPosition="0"/>
    </format>
    <format dxfId="171">
      <pivotArea dataOnly="0" labelOnly="1" grandRow="1" outline="0" fieldPosition="0"/>
    </format>
    <format dxfId="170">
      <pivotArea grandRow="1" outline="0" collapsedLevelsAreSubtotals="1" fieldPosition="0"/>
    </format>
    <format dxfId="169">
      <pivotArea dataOnly="0" labelOnly="1" grandRow="1" outline="0" fieldPosition="0"/>
    </format>
    <format dxfId="168">
      <pivotArea grandRow="1" outline="0" collapsedLevelsAreSubtotals="1" fieldPosition="0"/>
    </format>
    <format dxfId="167">
      <pivotArea dataOnly="0" labelOnly="1" grandRow="1" outline="0" fieldPosition="0"/>
    </format>
    <format dxfId="166">
      <pivotArea type="all" dataOnly="0" outline="0" fieldPosition="0"/>
    </format>
    <format dxfId="165">
      <pivotArea outline="0" collapsedLevelsAreSubtotals="1" fieldPosition="0"/>
    </format>
    <format dxfId="164">
      <pivotArea field="7" type="button" dataOnly="0" labelOnly="1" outline="0" axis="axisRow" fieldPosition="0"/>
    </format>
    <format dxfId="163">
      <pivotArea dataOnly="0" labelOnly="1" fieldPosition="0">
        <references count="1">
          <reference field="7" count="0"/>
        </references>
      </pivotArea>
    </format>
    <format dxfId="162">
      <pivotArea dataOnly="0" labelOnly="1" grandRow="1" outline="0" fieldPosition="0"/>
    </format>
    <format dxfId="161">
      <pivotArea dataOnly="0" labelOnly="1" outline="0" fieldPosition="0">
        <references count="1">
          <reference field="4294967294" count="16">
            <x v="0"/>
            <x v="1"/>
            <x v="2"/>
            <x v="3"/>
            <x v="4"/>
            <x v="5"/>
            <x v="6"/>
            <x v="7"/>
            <x v="8"/>
            <x v="9"/>
            <x v="10"/>
            <x v="11"/>
            <x v="12"/>
            <x v="13"/>
            <x v="14"/>
            <x v="15"/>
          </reference>
        </references>
      </pivotArea>
    </format>
    <format dxfId="160">
      <pivotArea type="all" dataOnly="0" outline="0" fieldPosition="0"/>
    </format>
    <format dxfId="159">
      <pivotArea outline="0" collapsedLevelsAreSubtotals="1" fieldPosition="0"/>
    </format>
    <format dxfId="158">
      <pivotArea field="7" type="button" dataOnly="0" labelOnly="1" outline="0" axis="axisRow" fieldPosition="0"/>
    </format>
    <format dxfId="157">
      <pivotArea dataOnly="0" labelOnly="1" fieldPosition="0">
        <references count="1">
          <reference field="7" count="0"/>
        </references>
      </pivotArea>
    </format>
    <format dxfId="156">
      <pivotArea dataOnly="0" labelOnly="1" grandRow="1" outline="0" fieldPosition="0"/>
    </format>
    <format dxfId="155">
      <pivotArea dataOnly="0" labelOnly="1" outline="0" fieldPosition="0">
        <references count="1">
          <reference field="4294967294" count="16">
            <x v="0"/>
            <x v="1"/>
            <x v="2"/>
            <x v="3"/>
            <x v="4"/>
            <x v="5"/>
            <x v="6"/>
            <x v="7"/>
            <x v="8"/>
            <x v="9"/>
            <x v="10"/>
            <x v="11"/>
            <x v="12"/>
            <x v="13"/>
            <x v="14"/>
            <x v="15"/>
          </reference>
        </references>
      </pivotArea>
    </format>
    <format dxfId="154">
      <pivotArea field="7" type="button" dataOnly="0" labelOnly="1" outline="0" axis="axisRow" fieldPosition="0"/>
    </format>
    <format dxfId="153">
      <pivotArea dataOnly="0" labelOnly="1" outline="0" fieldPosition="0">
        <references count="1">
          <reference field="4294967294" count="16">
            <x v="0"/>
            <x v="1"/>
            <x v="2"/>
            <x v="3"/>
            <x v="4"/>
            <x v="5"/>
            <x v="6"/>
            <x v="7"/>
            <x v="8"/>
            <x v="9"/>
            <x v="10"/>
            <x v="11"/>
            <x v="12"/>
            <x v="13"/>
            <x v="14"/>
            <x v="15"/>
          </reference>
        </references>
      </pivotArea>
    </format>
    <format dxfId="152">
      <pivotArea grandRow="1" outline="0" collapsedLevelsAreSubtotals="1" fieldPosition="0"/>
    </format>
    <format dxfId="151">
      <pivotArea dataOnly="0" labelOnly="1" grandRow="1" outline="0" fieldPosition="0"/>
    </format>
    <format dxfId="150">
      <pivotArea field="7" type="button" dataOnly="0" labelOnly="1" outline="0" axis="axisRow" fieldPosition="0"/>
    </format>
    <format dxfId="149">
      <pivotArea dataOnly="0" labelOnly="1" outline="0" fieldPosition="0">
        <references count="1">
          <reference field="4294967294" count="16">
            <x v="0"/>
            <x v="1"/>
            <x v="2"/>
            <x v="3"/>
            <x v="4"/>
            <x v="5"/>
            <x v="6"/>
            <x v="7"/>
            <x v="8"/>
            <x v="9"/>
            <x v="10"/>
            <x v="11"/>
            <x v="12"/>
            <x v="13"/>
            <x v="14"/>
            <x v="15"/>
          </reference>
        </references>
      </pivotArea>
    </format>
    <format dxfId="148">
      <pivotArea grandRow="1" outline="0" collapsedLevelsAreSubtotals="1" fieldPosition="0"/>
    </format>
    <format dxfId="147">
      <pivotArea dataOnly="0" labelOnly="1" grandRow="1" outline="0" fieldPosition="0"/>
    </format>
    <format dxfId="146">
      <pivotArea field="7" type="button" dataOnly="0" labelOnly="1" outline="0" axis="axisRow" fieldPosition="0"/>
    </format>
    <format dxfId="145">
      <pivotArea dataOnly="0" labelOnly="1" outline="0" fieldPosition="0">
        <references count="1">
          <reference field="4294967294" count="16">
            <x v="0"/>
            <x v="1"/>
            <x v="2"/>
            <x v="3"/>
            <x v="4"/>
            <x v="5"/>
            <x v="6"/>
            <x v="7"/>
            <x v="8"/>
            <x v="9"/>
            <x v="10"/>
            <x v="11"/>
            <x v="12"/>
            <x v="13"/>
            <x v="14"/>
            <x v="15"/>
          </reference>
        </references>
      </pivotArea>
    </format>
    <format dxfId="144">
      <pivotArea grandRow="1" outline="0" collapsedLevelsAreSubtotals="1" fieldPosition="0"/>
    </format>
    <format dxfId="143">
      <pivotArea dataOnly="0" labelOnly="1" grandRow="1" outline="0" fieldPosition="0"/>
    </format>
    <format dxfId="142">
      <pivotArea grandRow="1" outline="0" collapsedLevelsAreSubtotals="1" fieldPosition="0"/>
    </format>
    <format dxfId="141">
      <pivotArea dataOnly="0" labelOnly="1" grandRow="1" outline="0" fieldPosition="0"/>
    </format>
    <format dxfId="140">
      <pivotArea grandRow="1" outline="0" collapsedLevelsAreSubtotals="1" fieldPosition="0"/>
    </format>
    <format dxfId="139">
      <pivotArea dataOnly="0" labelOnly="1" grandRow="1" outline="0" fieldPosition="0"/>
    </format>
    <format dxfId="138">
      <pivotArea field="7" grandRow="1" outline="0" collapsedLevelsAreSubtotals="1" axis="axisRow" fieldPosition="0">
        <references count="1">
          <reference field="4294967294" count="2" selected="0">
            <x v="2"/>
            <x v="3"/>
          </reference>
        </references>
      </pivotArea>
    </format>
    <format dxfId="137">
      <pivotArea field="7" grandRow="1" outline="0" collapsedLevelsAreSubtotals="1" axis="axisRow" fieldPosition="0">
        <references count="1">
          <reference field="4294967294" count="2" selected="0">
            <x v="6"/>
            <x v="7"/>
          </reference>
        </references>
      </pivotArea>
    </format>
    <format dxfId="136">
      <pivotArea field="7" grandRow="1" outline="0" collapsedLevelsAreSubtotals="1" axis="axisRow" fieldPosition="0">
        <references count="1">
          <reference field="4294967294" count="2" selected="0">
            <x v="10"/>
            <x v="11"/>
          </reference>
        </references>
      </pivotArea>
    </format>
    <format dxfId="135">
      <pivotArea field="7" grandRow="1" outline="0" collapsedLevelsAreSubtotals="1" axis="axisRow" fieldPosition="0">
        <references count="1">
          <reference field="4294967294" count="1" selected="0">
            <x v="2"/>
          </reference>
        </references>
      </pivotArea>
    </format>
    <format dxfId="134">
      <pivotArea field="7" grandRow="1" outline="0" collapsedLevelsAreSubtotals="1" axis="axisRow" fieldPosition="0">
        <references count="1">
          <reference field="4294967294" count="1" selected="0">
            <x v="3"/>
          </reference>
        </references>
      </pivotArea>
    </format>
    <format dxfId="133">
      <pivotArea field="7" grandRow="1" outline="0" collapsedLevelsAreSubtotals="1" axis="axisRow" fieldPosition="0">
        <references count="1">
          <reference field="4294967294" count="1" selected="0">
            <x v="7"/>
          </reference>
        </references>
      </pivotArea>
    </format>
    <format dxfId="132">
      <pivotArea field="7" grandRow="1" outline="0" collapsedLevelsAreSubtotals="1" axis="axisRow" fieldPosition="0">
        <references count="1">
          <reference field="4294967294" count="1" selected="0">
            <x v="6"/>
          </reference>
        </references>
      </pivotArea>
    </format>
    <format dxfId="131">
      <pivotArea field="7" grandRow="1" outline="0" collapsedLevelsAreSubtotals="1" axis="axisRow" fieldPosition="0">
        <references count="1">
          <reference field="4294967294" count="1" selected="0">
            <x v="10"/>
          </reference>
        </references>
      </pivotArea>
    </format>
    <format dxfId="130">
      <pivotArea field="7" grandRow="1" outline="0" collapsedLevelsAreSubtotals="1" axis="axisRow" fieldPosition="0">
        <references count="1">
          <reference field="4294967294" count="1" selected="0">
            <x v="11"/>
          </reference>
        </references>
      </pivotArea>
    </format>
    <format dxfId="129">
      <pivotArea field="7" grandRow="1" outline="0" collapsedLevelsAreSubtotals="1" axis="axisRow" fieldPosition="0">
        <references count="1">
          <reference field="4294967294" count="1" selected="0">
            <x v="2"/>
          </reference>
        </references>
      </pivotArea>
    </format>
    <format dxfId="128">
      <pivotArea field="7" grandRow="1" outline="0" collapsedLevelsAreSubtotals="1" axis="axisRow" fieldPosition="0">
        <references count="1">
          <reference field="4294967294" count="1" selected="0">
            <x v="3"/>
          </reference>
        </references>
      </pivotArea>
    </format>
    <format dxfId="127">
      <pivotArea field="7" grandRow="1" outline="0" collapsedLevelsAreSubtotals="1" axis="axisRow" fieldPosition="0">
        <references count="1">
          <reference field="4294967294" count="1" selected="0">
            <x v="7"/>
          </reference>
        </references>
      </pivotArea>
    </format>
    <format dxfId="126">
      <pivotArea field="7" grandRow="1" outline="0" collapsedLevelsAreSubtotals="1" axis="axisRow" fieldPosition="0">
        <references count="1">
          <reference field="4294967294" count="1" selected="0">
            <x v="6"/>
          </reference>
        </references>
      </pivotArea>
    </format>
    <format dxfId="125">
      <pivotArea field="7" grandRow="1" outline="0" collapsedLevelsAreSubtotals="1" axis="axisRow" fieldPosition="0">
        <references count="1">
          <reference field="4294967294" count="1" selected="0">
            <x v="10"/>
          </reference>
        </references>
      </pivotArea>
    </format>
    <format dxfId="124">
      <pivotArea field="7" grandRow="1" outline="0" collapsedLevelsAreSubtotals="1" axis="axisRow" fieldPosition="0">
        <references count="1">
          <reference field="4294967294" count="1" selected="0">
            <x v="11"/>
          </reference>
        </references>
      </pivotArea>
    </format>
    <format dxfId="123">
      <pivotArea field="7" type="button" dataOnly="0" labelOnly="1" outline="0" axis="axisRow" fieldPosition="0"/>
    </format>
    <format dxfId="122">
      <pivotArea dataOnly="0" labelOnly="1" outline="0" fieldPosition="0">
        <references count="1">
          <reference field="4294967294" count="16">
            <x v="0"/>
            <x v="1"/>
            <x v="2"/>
            <x v="3"/>
            <x v="4"/>
            <x v="5"/>
            <x v="6"/>
            <x v="7"/>
            <x v="8"/>
            <x v="9"/>
            <x v="10"/>
            <x v="11"/>
            <x v="12"/>
            <x v="13"/>
            <x v="14"/>
            <x v="15"/>
          </reference>
        </references>
      </pivotArea>
    </format>
    <format dxfId="121">
      <pivotArea grandRow="1" outline="0" collapsedLevelsAreSubtotals="1" fieldPosition="0"/>
    </format>
    <format dxfId="120">
      <pivotArea dataOnly="0" labelOnly="1" grandRow="1" outline="0" fieldPosition="0"/>
    </format>
    <format dxfId="119">
      <pivotArea field="7" type="button" dataOnly="0" labelOnly="1" outline="0" axis="axisRow" fieldPosition="0"/>
    </format>
    <format dxfId="118">
      <pivotArea dataOnly="0" labelOnly="1" outline="0" fieldPosition="0">
        <references count="1">
          <reference field="4294967294" count="16">
            <x v="0"/>
            <x v="1"/>
            <x v="2"/>
            <x v="3"/>
            <x v="4"/>
            <x v="5"/>
            <x v="6"/>
            <x v="7"/>
            <x v="8"/>
            <x v="9"/>
            <x v="10"/>
            <x v="11"/>
            <x v="12"/>
            <x v="13"/>
            <x v="14"/>
            <x v="15"/>
          </reference>
        </references>
      </pivotArea>
    </format>
    <format dxfId="117">
      <pivotArea field="7" type="button" dataOnly="0" labelOnly="1" outline="0" axis="axisRow" fieldPosition="0"/>
    </format>
    <format dxfId="116">
      <pivotArea dataOnly="0" labelOnly="1" outline="0" fieldPosition="0">
        <references count="1">
          <reference field="4294967294" count="16">
            <x v="0"/>
            <x v="1"/>
            <x v="2"/>
            <x v="3"/>
            <x v="4"/>
            <x v="5"/>
            <x v="6"/>
            <x v="7"/>
            <x v="8"/>
            <x v="9"/>
            <x v="10"/>
            <x v="11"/>
            <x v="12"/>
            <x v="13"/>
            <x v="14"/>
            <x v="15"/>
          </reference>
        </references>
      </pivotArea>
    </format>
    <format dxfId="115">
      <pivotArea dataOnly="0" labelOnly="1" fieldPosition="0">
        <references count="1">
          <reference field="7" count="0"/>
        </references>
      </pivotArea>
    </format>
    <format dxfId="114">
      <pivotArea collapsedLevelsAreSubtotals="1" fieldPosition="0">
        <references count="2">
          <reference field="4294967294" count="1" selected="0">
            <x v="3"/>
          </reference>
          <reference field="7" count="0"/>
        </references>
      </pivotArea>
    </format>
    <format dxfId="113">
      <pivotArea collapsedLevelsAreSubtotals="1" fieldPosition="0">
        <references count="2">
          <reference field="4294967294" count="4" selected="0">
            <x v="4"/>
            <x v="5"/>
            <x v="6"/>
            <x v="7"/>
          </reference>
          <reference field="7" count="0"/>
        </references>
      </pivotArea>
    </format>
    <format dxfId="112">
      <pivotArea collapsedLevelsAreSubtotals="1" fieldPosition="0">
        <references count="2">
          <reference field="4294967294" count="4" selected="0">
            <x v="8"/>
            <x v="9"/>
            <x v="10"/>
            <x v="11"/>
          </reference>
          <reference field="7" count="0"/>
        </references>
      </pivotArea>
    </format>
    <format dxfId="111">
      <pivotArea dataOnly="0" labelOnly="1" fieldPosition="0">
        <references count="1">
          <reference field="7" count="0"/>
        </references>
      </pivotArea>
    </format>
    <format dxfId="110">
      <pivotArea collapsedLevelsAreSubtotals="1" fieldPosition="0">
        <references count="2">
          <reference field="4294967294" count="2" selected="0">
            <x v="4"/>
            <x v="5"/>
          </reference>
          <reference field="7" count="2">
            <x v="5"/>
            <x v="6"/>
          </reference>
        </references>
      </pivotArea>
    </format>
    <format dxfId="109">
      <pivotArea collapsedLevelsAreSubtotals="1" fieldPosition="0">
        <references count="2">
          <reference field="4294967294" count="2" selected="0">
            <x v="8"/>
            <x v="9"/>
          </reference>
          <reference field="7" count="2">
            <x v="5"/>
            <x v="6"/>
          </reference>
        </references>
      </pivotArea>
    </format>
    <format dxfId="108">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5" applyNumberFormats="0" applyBorderFormats="0" applyFontFormats="0" applyPatternFormats="0" applyAlignmentFormats="0" applyWidthHeightFormats="1" dataCaption="Values" updatedVersion="7" minRefreshableVersion="3" useAutoFormatting="1" itemPrintTitles="1" createdVersion="6" indent="0" compact="0" compactData="0" gridDropZones="1" multipleFieldFilters="0" rowHeaderCaption="Month">
  <location ref="B5:D9" firstHeaderRow="2" firstDataRow="2" firstDataCol="2"/>
  <pivotFields count="10">
    <pivotField compact="0" outline="0" showAll="0" defaultSubtotal="0"/>
    <pivotField axis="axisRow" compact="0" outline="0" showAll="0" defaultSubtotal="0">
      <items count="34">
        <item m="1" x="24"/>
        <item x="4"/>
        <item x="5"/>
        <item x="6"/>
        <item x="7"/>
        <item x="8"/>
        <item x="9"/>
        <item x="10"/>
        <item x="11"/>
        <item x="12"/>
        <item x="13"/>
        <item x="14"/>
        <item x="15"/>
        <item x="16"/>
        <item x="17"/>
        <item x="18"/>
        <item x="19"/>
        <item m="1" x="29"/>
        <item m="1" x="30"/>
        <item m="1" x="31"/>
        <item m="1" x="32"/>
        <item m="1" x="26"/>
        <item x="20"/>
        <item x="21"/>
        <item x="22"/>
        <item x="23"/>
        <item m="1" x="28"/>
        <item m="1" x="33"/>
        <item x="0"/>
        <item x="1"/>
        <item x="2"/>
        <item x="3"/>
        <item m="1" x="25"/>
        <item m="1" x="27"/>
      </items>
    </pivotField>
    <pivotField axis="axisRow" compact="0" outline="0" showAll="0" measureFilter="1" defaultSubtotal="0">
      <items count="18">
        <item x="10"/>
        <item x="11"/>
        <item x="0"/>
        <item x="1"/>
        <item x="2"/>
        <item x="3"/>
        <item x="4"/>
        <item x="5"/>
        <item x="6"/>
        <item x="7"/>
        <item m="1" x="16"/>
        <item m="1" x="17"/>
        <item x="13"/>
        <item x="14"/>
        <item x="15"/>
        <item x="8"/>
        <item x="9"/>
        <item x="1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3">
    <i>
      <x v="29"/>
      <x v="3"/>
    </i>
    <i>
      <x v="30"/>
      <x v="4"/>
    </i>
    <i t="grand">
      <x/>
    </i>
  </rowItems>
  <colItems count="1">
    <i/>
  </colItems>
  <dataFields count="1">
    <dataField name="Cost Per Month" fld="9" baseField="2" baseItem="0" numFmtId="164"/>
  </dataFields>
  <formats count="44">
    <format dxfId="107">
      <pivotArea type="origin" dataOnly="0" labelOnly="1" outline="0" fieldPosition="0"/>
    </format>
    <format dxfId="106">
      <pivotArea field="2" type="button" dataOnly="0" labelOnly="1" outline="0" axis="axisRow" fieldPosition="1"/>
    </format>
    <format dxfId="105">
      <pivotArea type="topRight" dataOnly="0" labelOnly="1" outline="0" fieldPosition="0"/>
    </format>
    <format dxfId="104">
      <pivotArea grandRow="1" outline="0" collapsedLevelsAreSubtotals="1" fieldPosition="0"/>
    </format>
    <format dxfId="103">
      <pivotArea dataOnly="0" labelOnly="1" grandRow="1" outline="0" fieldPosition="0"/>
    </format>
    <format dxfId="102">
      <pivotArea grandRow="1" outline="0" collapsedLevelsAreSubtotals="1" fieldPosition="0"/>
    </format>
    <format dxfId="101">
      <pivotArea dataOnly="0" labelOnly="1" grandRow="1" outline="0" fieldPosition="0"/>
    </format>
    <format dxfId="100">
      <pivotArea type="all" dataOnly="0" outline="0" fieldPosition="0"/>
    </format>
    <format dxfId="99">
      <pivotArea type="origin" dataOnly="0" labelOnly="1" outline="0" offset="B1" fieldPosition="0"/>
    </format>
    <format dxfId="98">
      <pivotArea type="topRight" dataOnly="0" labelOnly="1" outline="0" fieldPosition="0"/>
    </format>
    <format dxfId="97">
      <pivotArea field="2" type="button" dataOnly="0" labelOnly="1" outline="0" axis="axisRow" fieldPosition="1"/>
    </format>
    <format dxfId="96">
      <pivotArea type="topRight" dataOnly="0" labelOnly="1" outline="0" fieldPosition="0"/>
    </format>
    <format dxfId="95">
      <pivotArea dataOnly="0" grandRow="1" outline="0" fieldPosition="0"/>
    </format>
    <format dxfId="94">
      <pivotArea field="2" type="button" dataOnly="0" labelOnly="1" outline="0" axis="axisRow" fieldPosition="1"/>
    </format>
    <format dxfId="93">
      <pivotArea dataOnly="0" labelOnly="1" grandRow="1" outline="0" fieldPosition="0"/>
    </format>
    <format dxfId="92">
      <pivotArea grandRow="1" outline="0" collapsedLevelsAreSubtotals="1" fieldPosition="0"/>
    </format>
    <format dxfId="91">
      <pivotArea grandRow="1" outline="0" collapsedLevelsAreSubtotals="1" fieldPosition="0"/>
    </format>
    <format dxfId="90">
      <pivotArea dataOnly="0" labelOnly="1" grandRow="1" outline="0" fieldPosition="0"/>
    </format>
    <format dxfId="89">
      <pivotArea grandRow="1" outline="0" collapsedLevelsAreSubtotals="1" fieldPosition="0"/>
    </format>
    <format dxfId="88">
      <pivotArea dataOnly="0" labelOnly="1" grandRow="1" outline="0" fieldPosition="0"/>
    </format>
    <format dxfId="87">
      <pivotArea outline="0" collapsedLevelsAreSubtotals="1" fieldPosition="0"/>
    </format>
    <format dxfId="86">
      <pivotArea type="origin" dataOnly="0" labelOnly="1" outline="0" offset="B1" fieldPosition="0"/>
    </format>
    <format dxfId="85">
      <pivotArea type="topRight" dataOnly="0" labelOnly="1" outline="0" fieldPosition="0"/>
    </format>
    <format dxfId="84">
      <pivotArea field="2" type="button" dataOnly="0" labelOnly="1" outline="0" axis="axisRow" fieldPosition="1"/>
    </format>
    <format dxfId="83">
      <pivotArea dataOnly="0" labelOnly="1" grandRow="1" outline="0" offset="IV256" fieldPosition="0"/>
    </format>
    <format dxfId="82">
      <pivotArea dataOnly="0" labelOnly="1" outline="0" fieldPosition="0">
        <references count="2">
          <reference field="1" count="1" selected="0">
            <x v="1"/>
          </reference>
          <reference field="2" count="1">
            <x v="6"/>
          </reference>
        </references>
      </pivotArea>
    </format>
    <format dxfId="81">
      <pivotArea dataOnly="0" labelOnly="1" outline="0" fieldPosition="0">
        <references count="2">
          <reference field="1" count="1" selected="0">
            <x v="2"/>
          </reference>
          <reference field="2" count="1">
            <x v="7"/>
          </reference>
        </references>
      </pivotArea>
    </format>
    <format dxfId="80">
      <pivotArea dataOnly="0" labelOnly="1" outline="0" fieldPosition="0">
        <references count="2">
          <reference field="1" count="1" selected="0">
            <x v="3"/>
          </reference>
          <reference field="2" count="1">
            <x v="8"/>
          </reference>
        </references>
      </pivotArea>
    </format>
    <format dxfId="79">
      <pivotArea dataOnly="0" labelOnly="1" outline="0" fieldPosition="0">
        <references count="2">
          <reference field="1" count="1" selected="0">
            <x v="4"/>
          </reference>
          <reference field="2" count="1">
            <x v="9"/>
          </reference>
        </references>
      </pivotArea>
    </format>
    <format dxfId="78">
      <pivotArea dataOnly="0" labelOnly="1" outline="0" fieldPosition="0">
        <references count="2">
          <reference field="1" count="1" selected="0">
            <x v="5"/>
          </reference>
          <reference field="2" count="1">
            <x v="15"/>
          </reference>
        </references>
      </pivotArea>
    </format>
    <format dxfId="77">
      <pivotArea dataOnly="0" labelOnly="1" outline="0" fieldPosition="0">
        <references count="2">
          <reference field="1" count="1" selected="0">
            <x v="6"/>
          </reference>
          <reference field="2" count="1">
            <x v="16"/>
          </reference>
        </references>
      </pivotArea>
    </format>
    <format dxfId="76">
      <pivotArea dataOnly="0" labelOnly="1" outline="0" fieldPosition="0">
        <references count="2">
          <reference field="1" count="1" selected="0">
            <x v="7"/>
          </reference>
          <reference field="2" count="1">
            <x v="0"/>
          </reference>
        </references>
      </pivotArea>
    </format>
    <format dxfId="75">
      <pivotArea dataOnly="0" labelOnly="1" outline="0" fieldPosition="0">
        <references count="2">
          <reference field="1" count="1" selected="0">
            <x v="21"/>
          </reference>
          <reference field="2" count="1">
            <x v="17"/>
          </reference>
        </references>
      </pivotArea>
    </format>
    <format dxfId="74">
      <pivotArea type="topRight" dataOnly="0" labelOnly="1" outline="0" fieldPosition="0"/>
    </format>
    <format dxfId="73">
      <pivotArea field="2" type="button" dataOnly="0" labelOnly="1" outline="0" axis="axisRow" fieldPosition="1"/>
    </format>
    <format dxfId="72">
      <pivotArea field="2" type="button" dataOnly="0" labelOnly="1" outline="0" axis="axisRow" fieldPosition="1"/>
    </format>
    <format dxfId="71">
      <pivotArea field="2" type="button" dataOnly="0" labelOnly="1" outline="0" axis="axisRow" fieldPosition="1"/>
    </format>
    <format dxfId="70">
      <pivotArea field="2" type="button" dataOnly="0" labelOnly="1" outline="0" axis="axisRow" fieldPosition="1"/>
    </format>
    <format dxfId="69">
      <pivotArea field="2" type="button" dataOnly="0" labelOnly="1" outline="0" axis="axisRow" fieldPosition="1"/>
    </format>
    <format dxfId="68">
      <pivotArea field="2" type="button" dataOnly="0" labelOnly="1" outline="0" axis="axisRow" fieldPosition="1"/>
    </format>
    <format dxfId="67">
      <pivotArea field="2" type="button" dataOnly="0" labelOnly="1" outline="0" axis="axisRow" fieldPosition="1"/>
    </format>
    <format dxfId="66">
      <pivotArea field="2" type="button" dataOnly="0" labelOnly="1" outline="0" axis="axisRow" fieldPosition="1"/>
    </format>
    <format dxfId="65">
      <pivotArea grandRow="1" outline="0" collapsedLevelsAreSubtotals="1" fieldPosition="0"/>
    </format>
    <format dxfId="64">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27" totalsRowCount="1" headerRowDxfId="206" totalsRowDxfId="204" tableBorderDxfId="205">
  <autoFilter ref="B2:Z26" xr:uid="{00000000-0009-0000-0100-000001000000}"/>
  <tableColumns count="25">
    <tableColumn id="1" xr3:uid="{00000000-0010-0000-0000-000001000000}" name="Project Estimates" totalsRowLabel="Projected Estimate" totalsRowDxfId="48"/>
    <tableColumn id="2" xr3:uid="{00000000-0010-0000-0000-000002000000}" name="Rate" dataDxfId="47" totalsRowDxfId="46"/>
    <tableColumn id="3" xr3:uid="{00000000-0010-0000-0000-000003000000}" name="Lo Hrs." totalsRowFunction="custom" dataDxfId="45" totalsRowDxfId="44">
      <totalsRowFormula>SUM(D3:D26)</totalsRowFormula>
    </tableColumn>
    <tableColumn id="4" xr3:uid="{00000000-0010-0000-0000-000004000000}" name="Hi Hrs." totalsRowFunction="custom" dataDxfId="43" totalsRowDxfId="42">
      <calculatedColumnFormula>IFERROR(INT(ROUNDUP(Table1[[#This Row],[Lo Hrs.]]*(1+VLOOKUP(Table1[[#This Row],[Rate]],'Configuration Table'!A:C,3,FALSE)),0)),0)</calculatedColumnFormula>
      <totalsRowFormula>SUM(E3:E26)</totalsRowFormula>
    </tableColumn>
    <tableColumn id="5" xr3:uid="{00000000-0010-0000-0000-000005000000}" name="Lo Cost Est" totalsRowFunction="custom" dataDxfId="41" totalsRowDxfId="40" dataCellStyle="Currency">
      <calculatedColumnFormula>IFERROR(Table1[[#This Row],[Lo Hrs.]]*VLOOKUP(Table1[[#This Row],[Rate]],'Configuration Table'!A:B,2,FALSE),0)</calculatedColumnFormula>
      <totalsRowFormula>SUM(F3:F26)</totalsRowFormula>
    </tableColumn>
    <tableColumn id="6" xr3:uid="{00000000-0010-0000-0000-000006000000}" name="Hi Cost Est" totalsRowFunction="custom" dataDxfId="39" totalsRowDxfId="38" dataCellStyle="Currency">
      <calculatedColumnFormula>IFERROR(Table1[[#This Row],[Hi Hrs.]]*VLOOKUP(Table1[[#This Row],[Rate]],'Configuration Table'!A:B,2,FALSE),0)</calculatedColumnFormula>
      <totalsRowFormula>SUM(G3:G26)</totalsRowFormula>
    </tableColumn>
    <tableColumn id="7" xr3:uid="{00000000-0010-0000-0000-000007000000}" name="Formatting" dataDxfId="37" totalsRowDxfId="36">
      <calculatedColumnFormula>IFERROR(VLOOKUP(Table1[[#This Row],[Rate]],'Configuration Table'!A:G,7,FALSE),"")</calculatedColumnFormula>
    </tableColumn>
    <tableColumn id="25" xr3:uid="{00000000-0010-0000-0000-000019000000}" name="Short Rate Name" dataDxfId="35" totalsRowDxfId="34">
      <calculatedColumnFormula>IFERROR(VLOOKUP(Table1[[#This Row],[Rate]],'Configuration Table'!A:G,5,FALSE),"")</calculatedColumnFormula>
    </tableColumn>
    <tableColumn id="8" xr3:uid="{00000000-0010-0000-0000-000008000000}" name="Long Rate Name" dataDxfId="33" totalsRowDxfId="32">
      <calculatedColumnFormula>IFERROR(VLOOKUP(Table1[[#This Row],[Rate]],'Configuration Table'!A:G,6,FALSE),"")</calculatedColumnFormula>
    </tableColumn>
    <tableColumn id="11" xr3:uid="{00000000-0010-0000-0000-00000B000000}" name="P1%" dataDxfId="31" totalsRowDxfId="30" dataCellStyle="Percent"/>
    <tableColumn id="12" xr3:uid="{00000000-0010-0000-0000-00000C000000}" name="P2%" dataDxfId="29" totalsRowDxfId="28" dataCellStyle="Percent"/>
    <tableColumn id="10" xr3:uid="{00000000-0010-0000-0000-00000A000000}" name="P3%" dataDxfId="27" totalsRowDxfId="26" dataCellStyle="Percent"/>
    <tableColumn id="13" xr3:uid="{00000000-0010-0000-0000-00000D000000}" name="P1LOW" dataDxfId="25" totalsRowDxfId="24">
      <calculatedColumnFormula>Table1[[#This Row],[Lo Hrs.]]*Table1[[#This Row],[P1%]]</calculatedColumnFormula>
    </tableColumn>
    <tableColumn id="14" xr3:uid="{00000000-0010-0000-0000-00000E000000}" name="P1HI" dataDxfId="23" totalsRowDxfId="22">
      <calculatedColumnFormula>Table1[[#This Row],[Hi Hrs.]]*Table1[[#This Row],[P1%]]</calculatedColumnFormula>
    </tableColumn>
    <tableColumn id="15" xr3:uid="{00000000-0010-0000-0000-00000F000000}" name="P1COSTLO" dataDxfId="21" totalsRowDxfId="20" dataCellStyle="Currency">
      <calculatedColumnFormula>Table1[[#This Row],[Lo Cost Est]]*Table1[[#This Row],[P1%]]</calculatedColumnFormula>
    </tableColumn>
    <tableColumn id="16" xr3:uid="{00000000-0010-0000-0000-000010000000}" name="P1COSTHI" dataDxfId="19" totalsRowDxfId="18" dataCellStyle="Currency">
      <calculatedColumnFormula>Table1[[#This Row],[Hi Cost Est]]*Table1[[#This Row],[P1%]]</calculatedColumnFormula>
    </tableColumn>
    <tableColumn id="17" xr3:uid="{00000000-0010-0000-0000-000011000000}" name="P2LOW" dataDxfId="17" totalsRowDxfId="16">
      <calculatedColumnFormula>Table1[[#This Row],[Lo Hrs.]]*Table1[[#This Row],[P2%]]</calculatedColumnFormula>
    </tableColumn>
    <tableColumn id="21" xr3:uid="{00000000-0010-0000-0000-000015000000}" name="P2HI" dataDxfId="15" totalsRowDxfId="14">
      <calculatedColumnFormula>Table1[[#This Row],[Hi Hrs.]]*Table1[[#This Row],[P2%]]</calculatedColumnFormula>
    </tableColumn>
    <tableColumn id="20" xr3:uid="{00000000-0010-0000-0000-000014000000}" name="P2COSTLO" dataDxfId="13" totalsRowDxfId="12" dataCellStyle="Currency">
      <calculatedColumnFormula>Table1[[#This Row],[Lo Cost Est]]*Table1[[#This Row],[P2%]]</calculatedColumnFormula>
    </tableColumn>
    <tableColumn id="19" xr3:uid="{00000000-0010-0000-0000-000013000000}" name="P2COSTHI" dataDxfId="11" totalsRowDxfId="10" dataCellStyle="Currency">
      <calculatedColumnFormula>Table1[[#This Row],[Hi Cost Est]]*Table1[[#This Row],[P2%]]</calculatedColumnFormula>
    </tableColumn>
    <tableColumn id="24" xr3:uid="{00000000-0010-0000-0000-000018000000}" name="P3LOW" dataDxfId="9" totalsRowDxfId="8">
      <calculatedColumnFormula>Table1[[#This Row],[Lo Hrs.]]*Table1[[#This Row],[P3%]]</calculatedColumnFormula>
    </tableColumn>
    <tableColumn id="23" xr3:uid="{00000000-0010-0000-0000-000017000000}" name="P3HI" dataDxfId="7" totalsRowDxfId="6">
      <calculatedColumnFormula>Table1[[#This Row],[Hi Hrs.]]*Table1[[#This Row],[P3%]]</calculatedColumnFormula>
    </tableColumn>
    <tableColumn id="22" xr3:uid="{00000000-0010-0000-0000-000016000000}" name="P3COSTLO" dataDxfId="5" totalsRowDxfId="4" dataCellStyle="Currency">
      <calculatedColumnFormula>Table1[[#This Row],[Lo Cost Est]]*Table1[[#This Row],[P3%]]</calculatedColumnFormula>
    </tableColumn>
    <tableColumn id="18" xr3:uid="{00000000-0010-0000-0000-000012000000}" name="P3COSTHI" dataDxfId="3" totalsRowDxfId="2" dataCellStyle="Currency">
      <calculatedColumnFormula>Table1[[#This Row],[Hi Cost Est]]*Table1[[#This Row],[P3%]]</calculatedColumnFormula>
    </tableColumn>
    <tableColumn id="9" xr3:uid="{00000000-0010-0000-0000-000009000000}" name="Description" dataDxfId="1" totalsRow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63">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62">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5" dataDxfId="61"/>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60">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59" dataDxfId="57" headerRowBorderDxfId="58" tableBorderDxfId="56">
  <autoFilter ref="A2:G18" xr:uid="{00000000-0009-0000-0100-000005000000}"/>
  <tableColumns count="7">
    <tableColumn id="1" xr3:uid="{00000000-0010-0000-0400-000001000000}" name="Code" dataDxfId="55"/>
    <tableColumn id="2" xr3:uid="{00000000-0010-0000-0400-000002000000}" name="Preferred Rate" dataDxfId="54" dataCellStyle="Currency"/>
    <tableColumn id="3" xr3:uid="{00000000-0010-0000-0400-000003000000}" name="Lo-Hi Range" dataDxfId="53" dataCellStyle="Percent"/>
    <tableColumn id="4" xr3:uid="{00000000-0010-0000-0400-000004000000}" name="% Of Dev" dataDxfId="52"/>
    <tableColumn id="7" xr3:uid="{00000000-0010-0000-0400-000007000000}" name="Short Name" dataDxfId="51"/>
    <tableColumn id="5" xr3:uid="{00000000-0010-0000-0400-000005000000}" name="Type of Product / Service" dataDxfId="50"/>
    <tableColumn id="6" xr3:uid="{00000000-0010-0000-0400-000006000000}" name="Color" dataDxfId="49"/>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9" dT="2022-05-16T15:28:36.16" personId="{03CB0CDA-B875-4602-BE9A-98C9BDD05029}" id="{BC14C5D0-9CD6-4FC3-B43F-4B1E511CCAEA}">
    <text>Includes Developer QA of initial installation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44"/>
  <sheetViews>
    <sheetView tabSelected="1" topLeftCell="A10" zoomScale="85" zoomScaleNormal="85" zoomScalePageLayoutView="150" workbookViewId="0">
      <selection activeCell="E11" sqref="E11"/>
    </sheetView>
  </sheetViews>
  <sheetFormatPr defaultColWidth="8.85546875" defaultRowHeight="15" x14ac:dyDescent="0.25"/>
  <cols>
    <col min="2" max="2" width="54.5703125" bestFit="1" customWidth="1"/>
    <col min="3" max="3" width="9.7109375" style="58" bestFit="1" customWidth="1"/>
    <col min="4" max="5" width="8.42578125" style="4" customWidth="1"/>
    <col min="6" max="7" width="13.5703125" style="1" customWidth="1"/>
    <col min="8" max="8" width="12.28515625" hidden="1" customWidth="1"/>
    <col min="9" max="9" width="17" hidden="1" customWidth="1"/>
    <col min="10" max="10" width="33.42578125" hidden="1" customWidth="1"/>
    <col min="11" max="13" width="8.28515625" style="57"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85.140625" customWidth="1"/>
    <col min="27" max="27" width="13.140625" style="102"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31" customFormat="1" ht="20.25" thickTop="1" thickBot="1" x14ac:dyDescent="0.3">
      <c r="B1" s="158" t="s">
        <v>0</v>
      </c>
      <c r="C1" s="159"/>
      <c r="D1" s="159"/>
      <c r="E1" s="159"/>
      <c r="F1" s="159"/>
      <c r="G1" s="159"/>
      <c r="H1" s="34"/>
      <c r="I1" s="34"/>
      <c r="J1" s="34"/>
      <c r="K1" s="53"/>
      <c r="L1" s="53"/>
      <c r="M1" s="53"/>
      <c r="N1" s="34"/>
      <c r="O1" s="34"/>
      <c r="P1" s="35"/>
      <c r="Q1" s="35"/>
      <c r="R1" s="34"/>
      <c r="S1" s="34"/>
      <c r="T1" s="35"/>
      <c r="U1" s="35"/>
      <c r="V1" s="34"/>
      <c r="W1" s="34"/>
      <c r="X1" s="35"/>
      <c r="Y1" s="35"/>
      <c r="Z1" s="36"/>
      <c r="AA1" s="129"/>
      <c r="AM1" s="32"/>
      <c r="AN1" s="32"/>
    </row>
    <row r="2" spans="2:40" s="21" customFormat="1" ht="16.5" thickTop="1" thickBot="1" x14ac:dyDescent="0.3">
      <c r="B2" s="17" t="s">
        <v>1</v>
      </c>
      <c r="C2" s="49" t="s">
        <v>2</v>
      </c>
      <c r="D2" s="49" t="s">
        <v>3</v>
      </c>
      <c r="E2" s="49" t="s">
        <v>4</v>
      </c>
      <c r="F2" s="18" t="s">
        <v>5</v>
      </c>
      <c r="G2" s="18" t="s">
        <v>6</v>
      </c>
      <c r="H2" s="17" t="s">
        <v>7</v>
      </c>
      <c r="I2" s="17" t="s">
        <v>8</v>
      </c>
      <c r="J2" s="17" t="s">
        <v>9</v>
      </c>
      <c r="K2" s="54" t="s">
        <v>10</v>
      </c>
      <c r="L2" s="54" t="s">
        <v>11</v>
      </c>
      <c r="M2" s="54" t="s">
        <v>12</v>
      </c>
      <c r="N2" s="17" t="s">
        <v>13</v>
      </c>
      <c r="O2" s="17" t="s">
        <v>14</v>
      </c>
      <c r="P2" s="18" t="s">
        <v>15</v>
      </c>
      <c r="Q2" s="18" t="s">
        <v>16</v>
      </c>
      <c r="R2" s="17" t="s">
        <v>17</v>
      </c>
      <c r="S2" s="17" t="s">
        <v>18</v>
      </c>
      <c r="T2" s="18" t="s">
        <v>19</v>
      </c>
      <c r="U2" s="18" t="s">
        <v>20</v>
      </c>
      <c r="V2" s="17" t="s">
        <v>21</v>
      </c>
      <c r="W2" s="17" t="s">
        <v>22</v>
      </c>
      <c r="X2" s="18" t="s">
        <v>23</v>
      </c>
      <c r="Y2" s="18" t="s">
        <v>24</v>
      </c>
      <c r="Z2" s="17" t="s">
        <v>25</v>
      </c>
      <c r="AA2" s="130"/>
      <c r="AM2" s="33"/>
      <c r="AN2" s="33"/>
    </row>
    <row r="3" spans="2:40" ht="90" x14ac:dyDescent="0.25">
      <c r="B3" s="111" t="s">
        <v>26</v>
      </c>
      <c r="C3" s="112" t="s">
        <v>27</v>
      </c>
      <c r="D3" s="151"/>
      <c r="E3" s="142"/>
      <c r="F3" s="113">
        <v>17100</v>
      </c>
      <c r="G3" s="113">
        <v>17100</v>
      </c>
      <c r="H3" s="114" t="str">
        <f>IFERROR(VLOOKUP(Table1[[#This Row],[Rate]],'Configuration Table'!A:G,7,FALSE),"")</f>
        <v>Red</v>
      </c>
      <c r="I3" s="114" t="str">
        <f>IFERROR(VLOOKUP(Table1[[#This Row],[Rate]],'Configuration Table'!A:G,5,FALSE),"")</f>
        <v>License</v>
      </c>
      <c r="J3" s="114" t="str">
        <f>IFERROR(VLOOKUP(Table1[[#This Row],[Rate]],'Configuration Table'!A:G,6,FALSE),"")</f>
        <v>Clarity Connect Software License (typically $17,000)</v>
      </c>
      <c r="K3" s="115"/>
      <c r="L3" s="115">
        <v>1</v>
      </c>
      <c r="M3" s="115"/>
      <c r="N3" s="114">
        <f>Table1[[#This Row],[Lo Hrs.]]*Table1[[#This Row],[P1%]]</f>
        <v>0</v>
      </c>
      <c r="O3" s="114">
        <f>Table1[[#This Row],[Hi Hrs.]]*Table1[[#This Row],[P1%]]</f>
        <v>0</v>
      </c>
      <c r="P3" s="113">
        <f>Table1[[#This Row],[Lo Cost Est]]*Table1[[#This Row],[P1%]]</f>
        <v>0</v>
      </c>
      <c r="Q3" s="113">
        <f>Table1[[#This Row],[Hi Cost Est]]*Table1[[#This Row],[P1%]]</f>
        <v>0</v>
      </c>
      <c r="R3" s="114">
        <f>Table1[[#This Row],[Lo Hrs.]]*Table1[[#This Row],[P2%]]</f>
        <v>0</v>
      </c>
      <c r="S3" s="114">
        <f>Table1[[#This Row],[Hi Hrs.]]*Table1[[#This Row],[P2%]]</f>
        <v>0</v>
      </c>
      <c r="T3" s="113">
        <f>Table1[[#This Row],[Lo Cost Est]]*Table1[[#This Row],[P2%]]</f>
        <v>17100</v>
      </c>
      <c r="U3" s="113">
        <f>Table1[[#This Row],[Hi Cost Est]]*Table1[[#This Row],[P2%]]</f>
        <v>17100</v>
      </c>
      <c r="V3" s="114">
        <f>Table1[[#This Row],[Lo Hrs.]]*Table1[[#This Row],[P3%]]</f>
        <v>0</v>
      </c>
      <c r="W3" s="114">
        <f>Table1[[#This Row],[Hi Hrs.]]*Table1[[#This Row],[P3%]]</f>
        <v>0</v>
      </c>
      <c r="X3" s="113">
        <f>Table1[[#This Row],[Lo Cost Est]]*Table1[[#This Row],[P3%]]</f>
        <v>0</v>
      </c>
      <c r="Y3" s="113">
        <f>Table1[[#This Row],[Hi Cost Est]]*Table1[[#This Row],[P3%]]</f>
        <v>0</v>
      </c>
      <c r="Z3" s="116" t="s">
        <v>28</v>
      </c>
      <c r="AA3" s="160" t="s">
        <v>29</v>
      </c>
    </row>
    <row r="4" spans="2:40" x14ac:dyDescent="0.25">
      <c r="B4" s="117" t="s">
        <v>30</v>
      </c>
      <c r="C4" s="47" t="s">
        <v>27</v>
      </c>
      <c r="D4" s="152"/>
      <c r="E4" s="143"/>
      <c r="F4" s="3">
        <f>IFERROR(Table1[[#This Row],[Lo Hrs.]]*VLOOKUP(Table1[[#This Row],[Rate]],'Configuration Table'!A:B,2,FALSE),0)</f>
        <v>0</v>
      </c>
      <c r="G4" s="3">
        <f>IFERROR(Table1[[#This Row],[Hi Hrs.]]*VLOOKUP(Table1[[#This Row],[Rate]],'Configuration Table'!A:B,2,FALSE),0)</f>
        <v>0</v>
      </c>
      <c r="H4" t="str">
        <f>IFERROR(VLOOKUP(Table1[[#This Row],[Rate]],'Configuration Table'!A:G,7,FALSE),"")</f>
        <v>Red</v>
      </c>
      <c r="I4" t="str">
        <f>IFERROR(VLOOKUP(Table1[[#This Row],[Rate]],'Configuration Table'!A:G,5,FALSE),"")</f>
        <v>License</v>
      </c>
      <c r="J4" t="str">
        <f>IFERROR(VLOOKUP(Table1[[#This Row],[Rate]],'Configuration Table'!A:G,6,FALSE),"")</f>
        <v>Clarity Connect Software License (typically $17,000)</v>
      </c>
      <c r="K4" s="55"/>
      <c r="L4" s="55">
        <v>1</v>
      </c>
      <c r="M4" s="55"/>
      <c r="N4">
        <f>Table1[[#This Row],[Lo Hrs.]]*Table1[[#This Row],[P1%]]</f>
        <v>0</v>
      </c>
      <c r="O4">
        <f>Table1[[#This Row],[Hi Hrs.]]*Table1[[#This Row],[P1%]]</f>
        <v>0</v>
      </c>
      <c r="P4" s="3">
        <f>Table1[[#This Row],[Lo Cost Est]]*Table1[[#This Row],[P1%]]</f>
        <v>0</v>
      </c>
      <c r="Q4" s="3">
        <f>Table1[[#This Row],[Hi Cost Est]]*Table1[[#This Row],[P1%]]</f>
        <v>0</v>
      </c>
      <c r="R4">
        <f>Table1[[#This Row],[Lo Hrs.]]*Table1[[#This Row],[P2%]]</f>
        <v>0</v>
      </c>
      <c r="S4">
        <f>Table1[[#This Row],[Hi Hrs.]]*Table1[[#This Row],[P2%]]</f>
        <v>0</v>
      </c>
      <c r="T4" s="3">
        <f>Table1[[#This Row],[Lo Cost Est]]*Table1[[#This Row],[P2%]]</f>
        <v>0</v>
      </c>
      <c r="U4" s="3">
        <f>Table1[[#This Row],[Hi Cost Est]]*Table1[[#This Row],[P2%]]</f>
        <v>0</v>
      </c>
      <c r="V4">
        <f>Table1[[#This Row],[Lo Hrs.]]*Table1[[#This Row],[P3%]]</f>
        <v>0</v>
      </c>
      <c r="W4">
        <f>Table1[[#This Row],[Hi Hrs.]]*Table1[[#This Row],[P3%]]</f>
        <v>0</v>
      </c>
      <c r="X4" s="3">
        <f>Table1[[#This Row],[Lo Cost Est]]*Table1[[#This Row],[P3%]]</f>
        <v>0</v>
      </c>
      <c r="Y4" s="3">
        <f>Table1[[#This Row],[Hi Cost Est]]*Table1[[#This Row],[P3%]]</f>
        <v>0</v>
      </c>
      <c r="Z4" s="118" t="s">
        <v>31</v>
      </c>
      <c r="AA4" s="161"/>
    </row>
    <row r="5" spans="2:40" x14ac:dyDescent="0.25">
      <c r="B5" s="117" t="s">
        <v>32</v>
      </c>
      <c r="C5" s="47" t="s">
        <v>27</v>
      </c>
      <c r="D5" s="152"/>
      <c r="E5" s="143"/>
      <c r="F5" s="3">
        <f>IFERROR(Table1[[#This Row],[Lo Hrs.]]*VLOOKUP(Table1[[#This Row],[Rate]],'Configuration Table'!A:B,2,FALSE),0)</f>
        <v>0</v>
      </c>
      <c r="G5" s="3">
        <f>IFERROR(Table1[[#This Row],[Hi Hrs.]]*VLOOKUP(Table1[[#This Row],[Rate]],'Configuration Table'!A:B,2,FALSE),0)</f>
        <v>0</v>
      </c>
      <c r="H5" t="str">
        <f>IFERROR(VLOOKUP(Table1[[#This Row],[Rate]],'Configuration Table'!A:G,7,FALSE),"")</f>
        <v>Red</v>
      </c>
      <c r="I5" t="str">
        <f>IFERROR(VLOOKUP(Table1[[#This Row],[Rate]],'Configuration Table'!A:G,5,FALSE),"")</f>
        <v>License</v>
      </c>
      <c r="J5" t="str">
        <f>IFERROR(VLOOKUP(Table1[[#This Row],[Rate]],'Configuration Table'!A:G,6,FALSE),"")</f>
        <v>Clarity Connect Software License (typically $17,000)</v>
      </c>
      <c r="K5" s="55"/>
      <c r="L5" s="55">
        <v>1</v>
      </c>
      <c r="M5" s="55"/>
      <c r="N5">
        <f>Table1[[#This Row],[Lo Hrs.]]*Table1[[#This Row],[P1%]]</f>
        <v>0</v>
      </c>
      <c r="O5">
        <f>Table1[[#This Row],[Hi Hrs.]]*Table1[[#This Row],[P1%]]</f>
        <v>0</v>
      </c>
      <c r="P5" s="3">
        <f>Table1[[#This Row],[Lo Cost Est]]*Table1[[#This Row],[P1%]]</f>
        <v>0</v>
      </c>
      <c r="Q5" s="3">
        <f>Table1[[#This Row],[Hi Cost Est]]*Table1[[#This Row],[P1%]]</f>
        <v>0</v>
      </c>
      <c r="R5">
        <f>Table1[[#This Row],[Lo Hrs.]]*Table1[[#This Row],[P2%]]</f>
        <v>0</v>
      </c>
      <c r="S5">
        <f>Table1[[#This Row],[Hi Hrs.]]*Table1[[#This Row],[P2%]]</f>
        <v>0</v>
      </c>
      <c r="T5" s="3">
        <f>Table1[[#This Row],[Lo Cost Est]]*Table1[[#This Row],[P2%]]</f>
        <v>0</v>
      </c>
      <c r="U5" s="3">
        <f>Table1[[#This Row],[Hi Cost Est]]*Table1[[#This Row],[P2%]]</f>
        <v>0</v>
      </c>
      <c r="V5">
        <f>Table1[[#This Row],[Lo Hrs.]]*Table1[[#This Row],[P3%]]</f>
        <v>0</v>
      </c>
      <c r="W5">
        <f>Table1[[#This Row],[Hi Hrs.]]*Table1[[#This Row],[P3%]]</f>
        <v>0</v>
      </c>
      <c r="X5" s="3">
        <f>Table1[[#This Row],[Lo Cost Est]]*Table1[[#This Row],[P3%]]</f>
        <v>0</v>
      </c>
      <c r="Y5" s="3">
        <f>Table1[[#This Row],[Hi Cost Est]]*Table1[[#This Row],[P3%]]</f>
        <v>0</v>
      </c>
      <c r="Z5" s="118" t="s">
        <v>33</v>
      </c>
      <c r="AA5" s="161"/>
    </row>
    <row r="6" spans="2:40" ht="60" x14ac:dyDescent="0.25">
      <c r="B6" s="119" t="s">
        <v>34</v>
      </c>
      <c r="C6" s="58" t="s">
        <v>275</v>
      </c>
      <c r="D6" s="153"/>
      <c r="E6" s="144"/>
      <c r="F6" s="3">
        <f>IFERROR(Table1[[#This Row],[Lo Hrs.]]*VLOOKUP(Table1[[#This Row],[Rate]],'Configuration Table'!A:B,2,FALSE),0)</f>
        <v>0</v>
      </c>
      <c r="G6" s="3">
        <f>IFERROR(Table1[[#This Row],[Hi Hrs.]]*VLOOKUP(Table1[[#This Row],[Rate]],'Configuration Table'!A:B,2,FALSE),0)</f>
        <v>0</v>
      </c>
      <c r="H6" t="str">
        <f>IFERROR(VLOOKUP(Table1[[#This Row],[Rate]],'Configuration Table'!A:G,7,FALSE),"")</f>
        <v>Orange</v>
      </c>
      <c r="I6" t="str">
        <f>IFERROR(VLOOKUP(Table1[[#This Row],[Rate]],'Configuration Table'!A:G,5,FALSE),"")</f>
        <v>Integration</v>
      </c>
      <c r="J6" t="str">
        <f>IFERROR(VLOOKUP(Table1[[#This Row],[Rate]],'Configuration Table'!A:G,6,FALSE),"")</f>
        <v>Integration Hourly Rate ($175/hr. for post-pay)</v>
      </c>
      <c r="K6" s="55"/>
      <c r="L6" s="55">
        <v>1</v>
      </c>
      <c r="M6" s="55"/>
      <c r="N6">
        <f>Table1[[#This Row],[Lo Hrs.]]*Table1[[#This Row],[P1%]]</f>
        <v>0</v>
      </c>
      <c r="O6">
        <f>Table1[[#This Row],[Hi Hrs.]]*Table1[[#This Row],[P1%]]</f>
        <v>0</v>
      </c>
      <c r="P6" s="3">
        <f>Table1[[#This Row],[Lo Cost Est]]*Table1[[#This Row],[P1%]]</f>
        <v>0</v>
      </c>
      <c r="Q6" s="3">
        <f>Table1[[#This Row],[Hi Cost Est]]*Table1[[#This Row],[P1%]]</f>
        <v>0</v>
      </c>
      <c r="R6">
        <f>Table1[[#This Row],[Lo Hrs.]]*Table1[[#This Row],[P2%]]</f>
        <v>0</v>
      </c>
      <c r="S6">
        <f>Table1[[#This Row],[Hi Hrs.]]*Table1[[#This Row],[P2%]]</f>
        <v>0</v>
      </c>
      <c r="T6" s="3">
        <f>Table1[[#This Row],[Lo Cost Est]]*Table1[[#This Row],[P2%]]</f>
        <v>0</v>
      </c>
      <c r="U6" s="3">
        <f>Table1[[#This Row],[Hi Cost Est]]*Table1[[#This Row],[P2%]]</f>
        <v>0</v>
      </c>
      <c r="V6">
        <f>Table1[[#This Row],[Lo Hrs.]]*Table1[[#This Row],[P3%]]</f>
        <v>0</v>
      </c>
      <c r="W6">
        <f>Table1[[#This Row],[Hi Hrs.]]*Table1[[#This Row],[P3%]]</f>
        <v>0</v>
      </c>
      <c r="X6" s="3">
        <f>Table1[[#This Row],[Lo Cost Est]]*Table1[[#This Row],[P3%]]</f>
        <v>0</v>
      </c>
      <c r="Y6" s="3">
        <f>Table1[[#This Row],[Hi Cost Est]]*Table1[[#This Row],[P3%]]</f>
        <v>0</v>
      </c>
      <c r="Z6" s="118" t="s">
        <v>36</v>
      </c>
      <c r="AA6" s="161"/>
    </row>
    <row r="7" spans="2:40" ht="45" x14ac:dyDescent="0.25">
      <c r="B7" s="117" t="s">
        <v>37</v>
      </c>
      <c r="C7" s="58" t="s">
        <v>275</v>
      </c>
      <c r="D7" s="153"/>
      <c r="E7" s="144"/>
      <c r="F7" s="3">
        <f>IFERROR(Table1[[#This Row],[Lo Hrs.]]*VLOOKUP(Table1[[#This Row],[Rate]],'Configuration Table'!A:B,2,FALSE),0)</f>
        <v>0</v>
      </c>
      <c r="G7" s="3">
        <f>IFERROR(Table1[[#This Row],[Hi Hrs.]]*VLOOKUP(Table1[[#This Row],[Rate]],'Configuration Table'!A:B,2,FALSE),0)</f>
        <v>0</v>
      </c>
      <c r="H7" t="str">
        <f>IFERROR(VLOOKUP(Table1[[#This Row],[Rate]],'Configuration Table'!A:G,7,FALSE),"")</f>
        <v>Orange</v>
      </c>
      <c r="I7" t="str">
        <f>IFERROR(VLOOKUP(Table1[[#This Row],[Rate]],'Configuration Table'!A:G,5,FALSE),"")</f>
        <v>Integration</v>
      </c>
      <c r="J7" t="str">
        <f>IFERROR(VLOOKUP(Table1[[#This Row],[Rate]],'Configuration Table'!A:G,6,FALSE),"")</f>
        <v>Integration Hourly Rate ($175/hr. for post-pay)</v>
      </c>
      <c r="K7" s="55"/>
      <c r="L7" s="55">
        <v>1</v>
      </c>
      <c r="M7" s="55"/>
      <c r="N7">
        <f>Table1[[#This Row],[Lo Hrs.]]*Table1[[#This Row],[P1%]]</f>
        <v>0</v>
      </c>
      <c r="O7">
        <f>Table1[[#This Row],[Hi Hrs.]]*Table1[[#This Row],[P1%]]</f>
        <v>0</v>
      </c>
      <c r="P7" s="3">
        <f>Table1[[#This Row],[Lo Cost Est]]*Table1[[#This Row],[P1%]]</f>
        <v>0</v>
      </c>
      <c r="Q7" s="3">
        <f>Table1[[#This Row],[Hi Cost Est]]*Table1[[#This Row],[P1%]]</f>
        <v>0</v>
      </c>
      <c r="R7">
        <f>Table1[[#This Row],[Lo Hrs.]]*Table1[[#This Row],[P2%]]</f>
        <v>0</v>
      </c>
      <c r="S7">
        <f>Table1[[#This Row],[Hi Hrs.]]*Table1[[#This Row],[P2%]]</f>
        <v>0</v>
      </c>
      <c r="T7" s="3">
        <f>Table1[[#This Row],[Lo Cost Est]]*Table1[[#This Row],[P2%]]</f>
        <v>0</v>
      </c>
      <c r="U7" s="3">
        <f>Table1[[#This Row],[Hi Cost Est]]*Table1[[#This Row],[P2%]]</f>
        <v>0</v>
      </c>
      <c r="V7">
        <f>Table1[[#This Row],[Lo Hrs.]]*Table1[[#This Row],[P3%]]</f>
        <v>0</v>
      </c>
      <c r="W7">
        <f>Table1[[#This Row],[Hi Hrs.]]*Table1[[#This Row],[P3%]]</f>
        <v>0</v>
      </c>
      <c r="X7" s="3">
        <f>Table1[[#This Row],[Lo Cost Est]]*Table1[[#This Row],[P3%]]</f>
        <v>0</v>
      </c>
      <c r="Y7" s="3">
        <f>Table1[[#This Row],[Hi Cost Est]]*Table1[[#This Row],[P3%]]</f>
        <v>0</v>
      </c>
      <c r="Z7" s="118" t="s">
        <v>38</v>
      </c>
      <c r="AA7" s="161"/>
      <c r="AM7"/>
      <c r="AN7"/>
    </row>
    <row r="8" spans="2:40" ht="45" x14ac:dyDescent="0.25">
      <c r="B8" s="117" t="s">
        <v>39</v>
      </c>
      <c r="C8" s="58" t="s">
        <v>275</v>
      </c>
      <c r="D8" s="153"/>
      <c r="E8" s="144"/>
      <c r="F8" s="3">
        <f>IFERROR(Table1[[#This Row],[Lo Hrs.]]*VLOOKUP(Table1[[#This Row],[Rate]],'Configuration Table'!A:B,2,FALSE),0)</f>
        <v>0</v>
      </c>
      <c r="G8" s="3">
        <f>IFERROR(Table1[[#This Row],[Hi Hrs.]]*VLOOKUP(Table1[[#This Row],[Rate]],'Configuration Table'!A:B,2,FALSE),0)</f>
        <v>0</v>
      </c>
      <c r="H8" t="str">
        <f>IFERROR(VLOOKUP(Table1[[#This Row],[Rate]],'Configuration Table'!A:G,7,FALSE),"")</f>
        <v>Orange</v>
      </c>
      <c r="I8" t="str">
        <f>IFERROR(VLOOKUP(Table1[[#This Row],[Rate]],'Configuration Table'!A:G,5,FALSE),"")</f>
        <v>Integration</v>
      </c>
      <c r="J8" t="str">
        <f>IFERROR(VLOOKUP(Table1[[#This Row],[Rate]],'Configuration Table'!A:G,6,FALSE),"")</f>
        <v>Integration Hourly Rate ($175/hr. for post-pay)</v>
      </c>
      <c r="K8" s="55"/>
      <c r="L8" s="55">
        <v>1</v>
      </c>
      <c r="M8" s="55"/>
      <c r="N8">
        <f>Table1[[#This Row],[Lo Hrs.]]*Table1[[#This Row],[P1%]]</f>
        <v>0</v>
      </c>
      <c r="O8">
        <f>Table1[[#This Row],[Hi Hrs.]]*Table1[[#This Row],[P1%]]</f>
        <v>0</v>
      </c>
      <c r="P8" s="3">
        <f>Table1[[#This Row],[Lo Cost Est]]*Table1[[#This Row],[P1%]]</f>
        <v>0</v>
      </c>
      <c r="Q8" s="3">
        <f>Table1[[#This Row],[Hi Cost Est]]*Table1[[#This Row],[P1%]]</f>
        <v>0</v>
      </c>
      <c r="R8">
        <f>Table1[[#This Row],[Lo Hrs.]]*Table1[[#This Row],[P2%]]</f>
        <v>0</v>
      </c>
      <c r="S8">
        <f>Table1[[#This Row],[Hi Hrs.]]*Table1[[#This Row],[P2%]]</f>
        <v>0</v>
      </c>
      <c r="T8" s="3">
        <f>Table1[[#This Row],[Lo Cost Est]]*Table1[[#This Row],[P2%]]</f>
        <v>0</v>
      </c>
      <c r="U8" s="3">
        <f>Table1[[#This Row],[Hi Cost Est]]*Table1[[#This Row],[P2%]]</f>
        <v>0</v>
      </c>
      <c r="V8">
        <f>Table1[[#This Row],[Lo Hrs.]]*Table1[[#This Row],[P3%]]</f>
        <v>0</v>
      </c>
      <c r="W8">
        <f>Table1[[#This Row],[Hi Hrs.]]*Table1[[#This Row],[P3%]]</f>
        <v>0</v>
      </c>
      <c r="X8" s="3">
        <f>Table1[[#This Row],[Lo Cost Est]]*Table1[[#This Row],[P3%]]</f>
        <v>0</v>
      </c>
      <c r="Y8" s="3">
        <f>Table1[[#This Row],[Hi Cost Est]]*Table1[[#This Row],[P3%]]</f>
        <v>0</v>
      </c>
      <c r="Z8" s="118" t="s">
        <v>40</v>
      </c>
      <c r="AA8" s="161"/>
      <c r="AM8"/>
      <c r="AN8"/>
    </row>
    <row r="9" spans="2:40" ht="45" x14ac:dyDescent="0.25">
      <c r="B9" s="117" t="s">
        <v>41</v>
      </c>
      <c r="C9" s="58" t="s">
        <v>275</v>
      </c>
      <c r="D9" s="153"/>
      <c r="E9" s="144"/>
      <c r="F9" s="3">
        <f>IFERROR(Table1[[#This Row],[Lo Hrs.]]*VLOOKUP(Table1[[#This Row],[Rate]],'Configuration Table'!A:B,2,FALSE),0)</f>
        <v>0</v>
      </c>
      <c r="G9" s="3">
        <f>IFERROR(Table1[[#This Row],[Hi Hrs.]]*VLOOKUP(Table1[[#This Row],[Rate]],'Configuration Table'!A:B,2,FALSE),0)</f>
        <v>0</v>
      </c>
      <c r="H9" t="str">
        <f>IFERROR(VLOOKUP(Table1[[#This Row],[Rate]],'Configuration Table'!A:G,7,FALSE),"")</f>
        <v>Orange</v>
      </c>
      <c r="I9" t="str">
        <f>IFERROR(VLOOKUP(Table1[[#This Row],[Rate]],'Configuration Table'!A:G,5,FALSE),"")</f>
        <v>Integration</v>
      </c>
      <c r="J9" t="str">
        <f>IFERROR(VLOOKUP(Table1[[#This Row],[Rate]],'Configuration Table'!A:G,6,FALSE),"")</f>
        <v>Integration Hourly Rate ($175/hr. for post-pay)</v>
      </c>
      <c r="K9" s="55"/>
      <c r="L9" s="55">
        <v>1</v>
      </c>
      <c r="M9" s="55"/>
      <c r="N9">
        <f>Table1[[#This Row],[Lo Hrs.]]*Table1[[#This Row],[P1%]]</f>
        <v>0</v>
      </c>
      <c r="O9">
        <f>Table1[[#This Row],[Hi Hrs.]]*Table1[[#This Row],[P1%]]</f>
        <v>0</v>
      </c>
      <c r="P9" s="3">
        <f>Table1[[#This Row],[Lo Cost Est]]*Table1[[#This Row],[P1%]]</f>
        <v>0</v>
      </c>
      <c r="Q9" s="3">
        <f>Table1[[#This Row],[Hi Cost Est]]*Table1[[#This Row],[P1%]]</f>
        <v>0</v>
      </c>
      <c r="R9">
        <f>Table1[[#This Row],[Lo Hrs.]]*Table1[[#This Row],[P2%]]</f>
        <v>0</v>
      </c>
      <c r="S9">
        <f>Table1[[#This Row],[Hi Hrs.]]*Table1[[#This Row],[P2%]]</f>
        <v>0</v>
      </c>
      <c r="T9" s="3">
        <f>Table1[[#This Row],[Lo Cost Est]]*Table1[[#This Row],[P2%]]</f>
        <v>0</v>
      </c>
      <c r="U9" s="3">
        <f>Table1[[#This Row],[Hi Cost Est]]*Table1[[#This Row],[P2%]]</f>
        <v>0</v>
      </c>
      <c r="V9">
        <f>Table1[[#This Row],[Lo Hrs.]]*Table1[[#This Row],[P3%]]</f>
        <v>0</v>
      </c>
      <c r="W9">
        <f>Table1[[#This Row],[Hi Hrs.]]*Table1[[#This Row],[P3%]]</f>
        <v>0</v>
      </c>
      <c r="X9" s="3">
        <f>Table1[[#This Row],[Lo Cost Est]]*Table1[[#This Row],[P3%]]</f>
        <v>0</v>
      </c>
      <c r="Y9" s="3">
        <f>Table1[[#This Row],[Hi Cost Est]]*Table1[[#This Row],[P3%]]</f>
        <v>0</v>
      </c>
      <c r="Z9" s="118" t="s">
        <v>42</v>
      </c>
      <c r="AA9" s="161"/>
      <c r="AM9"/>
      <c r="AN9"/>
    </row>
    <row r="10" spans="2:40" ht="60.75" thickBot="1" x14ac:dyDescent="0.3">
      <c r="B10" s="120" t="s">
        <v>43</v>
      </c>
      <c r="C10" s="121" t="s">
        <v>275</v>
      </c>
      <c r="D10" s="154"/>
      <c r="E10" s="145"/>
      <c r="F10" s="122">
        <f>IFERROR(Table1[[#This Row],[Lo Hrs.]]*VLOOKUP(Table1[[#This Row],[Rate]],'Configuration Table'!A:B,2,FALSE),0)</f>
        <v>0</v>
      </c>
      <c r="G10" s="122">
        <f>IFERROR(Table1[[#This Row],[Hi Hrs.]]*VLOOKUP(Table1[[#This Row],[Rate]],'Configuration Table'!A:B,2,FALSE),0)</f>
        <v>0</v>
      </c>
      <c r="H10" s="123" t="str">
        <f>IFERROR(VLOOKUP(Table1[[#This Row],[Rate]],'Configuration Table'!A:G,7,FALSE),"")</f>
        <v>Orange</v>
      </c>
      <c r="I10" s="123" t="str">
        <f>IFERROR(VLOOKUP(Table1[[#This Row],[Rate]],'Configuration Table'!A:G,5,FALSE),"")</f>
        <v>Integration</v>
      </c>
      <c r="J10" s="123" t="str">
        <f>IFERROR(VLOOKUP(Table1[[#This Row],[Rate]],'Configuration Table'!A:G,6,FALSE),"")</f>
        <v>Integration Hourly Rate ($175/hr. for post-pay)</v>
      </c>
      <c r="K10" s="124"/>
      <c r="L10" s="124">
        <v>1</v>
      </c>
      <c r="M10" s="124"/>
      <c r="N10" s="123">
        <f>Table1[[#This Row],[Lo Hrs.]]*Table1[[#This Row],[P1%]]</f>
        <v>0</v>
      </c>
      <c r="O10" s="123">
        <f>Table1[[#This Row],[Hi Hrs.]]*Table1[[#This Row],[P1%]]</f>
        <v>0</v>
      </c>
      <c r="P10" s="122">
        <f>Table1[[#This Row],[Lo Cost Est]]*Table1[[#This Row],[P1%]]</f>
        <v>0</v>
      </c>
      <c r="Q10" s="122">
        <f>Table1[[#This Row],[Hi Cost Est]]*Table1[[#This Row],[P1%]]</f>
        <v>0</v>
      </c>
      <c r="R10" s="123">
        <f>Table1[[#This Row],[Lo Hrs.]]*Table1[[#This Row],[P2%]]</f>
        <v>0</v>
      </c>
      <c r="S10" s="123">
        <f>Table1[[#This Row],[Hi Hrs.]]*Table1[[#This Row],[P2%]]</f>
        <v>0</v>
      </c>
      <c r="T10" s="122">
        <f>Table1[[#This Row],[Lo Cost Est]]*Table1[[#This Row],[P2%]]</f>
        <v>0</v>
      </c>
      <c r="U10" s="122">
        <f>Table1[[#This Row],[Hi Cost Est]]*Table1[[#This Row],[P2%]]</f>
        <v>0</v>
      </c>
      <c r="V10" s="123">
        <f>Table1[[#This Row],[Lo Hrs.]]*Table1[[#This Row],[P3%]]</f>
        <v>0</v>
      </c>
      <c r="W10" s="123">
        <f>Table1[[#This Row],[Hi Hrs.]]*Table1[[#This Row],[P3%]]</f>
        <v>0</v>
      </c>
      <c r="X10" s="122">
        <f>Table1[[#This Row],[Lo Cost Est]]*Table1[[#This Row],[P3%]]</f>
        <v>0</v>
      </c>
      <c r="Y10" s="122">
        <f>Table1[[#This Row],[Hi Cost Est]]*Table1[[#This Row],[P3%]]</f>
        <v>0</v>
      </c>
      <c r="Z10" s="125" t="s">
        <v>44</v>
      </c>
      <c r="AA10" s="162"/>
      <c r="AM10"/>
      <c r="AN10"/>
    </row>
    <row r="11" spans="2:40" ht="135" x14ac:dyDescent="0.25">
      <c r="B11" t="s">
        <v>45</v>
      </c>
      <c r="C11" s="58" t="s">
        <v>70</v>
      </c>
      <c r="D11" s="155">
        <v>-11</v>
      </c>
      <c r="E11" s="146">
        <v>-11</v>
      </c>
      <c r="F11" s="1">
        <f>IFERROR(Table1[[#This Row],[Lo Hrs.]]*VLOOKUP(Table1[[#This Row],[Rate]],'Configuration Table'!A:B,2,FALSE),0)</f>
        <v>-1650</v>
      </c>
      <c r="G11" s="1">
        <f>IFERROR(Table1[[#This Row],[Hi Hrs.]]*VLOOKUP(Table1[[#This Row],[Rate]],'Configuration Table'!A:B,2,FALSE),0)</f>
        <v>-1650</v>
      </c>
      <c r="H11" t="str">
        <f>IFERROR(VLOOKUP(Table1[[#This Row],[Rate]],'Configuration Table'!A:G,7,FALSE),"")</f>
        <v>Orange</v>
      </c>
      <c r="I11" t="str">
        <f>IFERROR(VLOOKUP(Table1[[#This Row],[Rate]],'Configuration Table'!A:G,5,FALSE),"")</f>
        <v>Integration</v>
      </c>
      <c r="J11" t="str">
        <f>IFERROR(VLOOKUP(Table1[[#This Row],[Rate]],'Configuration Table'!A:G,6,FALSE),"")</f>
        <v>Integration Hourly Rate ($175/hr. for post-pay)</v>
      </c>
      <c r="K11" s="55"/>
      <c r="L11" s="55">
        <v>1</v>
      </c>
      <c r="M11" s="55"/>
      <c r="N11">
        <f>Table1[[#This Row],[Lo Hrs.]]*Table1[[#This Row],[P1%]]</f>
        <v>0</v>
      </c>
      <c r="O11">
        <f>Table1[[#This Row],[Hi Hrs.]]*Table1[[#This Row],[P1%]]</f>
        <v>0</v>
      </c>
      <c r="P11">
        <f>Table1[[#This Row],[Lo Cost Est]]*Table1[[#This Row],[P1%]]</f>
        <v>0</v>
      </c>
      <c r="Q11">
        <f>Table1[[#This Row],[Hi Cost Est]]*Table1[[#This Row],[P1%]]</f>
        <v>0</v>
      </c>
      <c r="R11">
        <f>Table1[[#This Row],[Lo Hrs.]]*Table1[[#This Row],[P2%]]</f>
        <v>-11</v>
      </c>
      <c r="S11">
        <f>Table1[[#This Row],[Hi Hrs.]]*Table1[[#This Row],[P2%]]</f>
        <v>-11</v>
      </c>
      <c r="T11">
        <f>Table1[[#This Row],[Lo Cost Est]]*Table1[[#This Row],[P2%]]</f>
        <v>-1650</v>
      </c>
      <c r="U11">
        <f>Table1[[#This Row],[Hi Cost Est]]*Table1[[#This Row],[P2%]]</f>
        <v>-1650</v>
      </c>
      <c r="V11">
        <f>Table1[[#This Row],[Lo Hrs.]]*Table1[[#This Row],[P3%]]</f>
        <v>0</v>
      </c>
      <c r="W11">
        <f>Table1[[#This Row],[Hi Hrs.]]*Table1[[#This Row],[P3%]]</f>
        <v>0</v>
      </c>
      <c r="X11">
        <f>Table1[[#This Row],[Lo Cost Est]]*Table1[[#This Row],[P3%]]</f>
        <v>0</v>
      </c>
      <c r="Y11">
        <f>Table1[[#This Row],[Hi Cost Est]]*Table1[[#This Row],[P3%]]</f>
        <v>0</v>
      </c>
      <c r="Z11" s="102" t="s">
        <v>276</v>
      </c>
      <c r="AA11" s="160" t="s">
        <v>46</v>
      </c>
    </row>
    <row r="12" spans="2:40" ht="30" x14ac:dyDescent="0.25">
      <c r="B12" s="117" t="s">
        <v>279</v>
      </c>
      <c r="C12" s="58" t="s">
        <v>275</v>
      </c>
      <c r="D12" s="155">
        <v>22</v>
      </c>
      <c r="E12" s="146">
        <f>IFERROR(INT(ROUNDUP(Table1[[#This Row],[Lo Hrs.]]*(1+VLOOKUP(Table1[[#This Row],[Rate]],'Configuration Table'!A:C,3,FALSE)),0)),0)</f>
        <v>26</v>
      </c>
      <c r="F12" s="126">
        <f>IFERROR(Table1[[#This Row],[Lo Hrs.]]*VLOOKUP(Table1[[#This Row],[Rate]],'Configuration Table'!A:B,2,FALSE),0)</f>
        <v>3300</v>
      </c>
      <c r="G12" s="126">
        <f>IFERROR(Table1[[#This Row],[Hi Hrs.]]*VLOOKUP(Table1[[#This Row],[Rate]],'Configuration Table'!A:B,2,FALSE),0)</f>
        <v>3900</v>
      </c>
      <c r="H12" s="127" t="str">
        <f>IFERROR(VLOOKUP(Table1[[#This Row],[Rate]],'Configuration Table'!A:G,7,FALSE),"")</f>
        <v>Orange</v>
      </c>
      <c r="I12" s="127" t="str">
        <f>IFERROR(VLOOKUP(Table1[[#This Row],[Rate]],'Configuration Table'!A:G,5,FALSE),"")</f>
        <v>Integration</v>
      </c>
      <c r="J12" s="127" t="str">
        <f>IFERROR(VLOOKUP(Table1[[#This Row],[Rate]],'Configuration Table'!A:G,6,FALSE),"")</f>
        <v>Integration Hourly Rate ($175/hr. for post-pay)</v>
      </c>
      <c r="K12" s="55">
        <v>1</v>
      </c>
      <c r="L12" s="55"/>
      <c r="M12" s="55"/>
      <c r="N12" s="127">
        <f>Table1[[#This Row],[Lo Hrs.]]*Table1[[#This Row],[P1%]]</f>
        <v>22</v>
      </c>
      <c r="O12" s="127">
        <f>Table1[[#This Row],[Hi Hrs.]]*Table1[[#This Row],[P1%]]</f>
        <v>26</v>
      </c>
      <c r="P12" s="126">
        <f>Table1[[#This Row],[Lo Cost Est]]*Table1[[#This Row],[P1%]]</f>
        <v>3300</v>
      </c>
      <c r="Q12" s="126">
        <f>Table1[[#This Row],[Hi Cost Est]]*Table1[[#This Row],[P1%]]</f>
        <v>3900</v>
      </c>
      <c r="R12" s="127">
        <f>Table1[[#This Row],[Lo Hrs.]]*Table1[[#This Row],[P2%]]</f>
        <v>0</v>
      </c>
      <c r="S12" s="127">
        <f>Table1[[#This Row],[Hi Hrs.]]*Table1[[#This Row],[P2%]]</f>
        <v>0</v>
      </c>
      <c r="T12" s="126">
        <f>Table1[[#This Row],[Lo Cost Est]]*Table1[[#This Row],[P2%]]</f>
        <v>0</v>
      </c>
      <c r="U12" s="126">
        <f>Table1[[#This Row],[Hi Cost Est]]*Table1[[#This Row],[P2%]]</f>
        <v>0</v>
      </c>
      <c r="V12" s="127">
        <f>Table1[[#This Row],[Lo Hrs.]]*Table1[[#This Row],[P3%]]</f>
        <v>0</v>
      </c>
      <c r="W12" s="127">
        <f>Table1[[#This Row],[Hi Hrs.]]*Table1[[#This Row],[P3%]]</f>
        <v>0</v>
      </c>
      <c r="X12" s="126">
        <f>Table1[[#This Row],[Lo Cost Est]]*Table1[[#This Row],[P3%]]</f>
        <v>0</v>
      </c>
      <c r="Y12" s="126">
        <f>Table1[[#This Row],[Hi Cost Est]]*Table1[[#This Row],[P3%]]</f>
        <v>0</v>
      </c>
      <c r="Z12" s="128" t="s">
        <v>282</v>
      </c>
      <c r="AA12" s="161"/>
    </row>
    <row r="13" spans="2:40" ht="30" x14ac:dyDescent="0.25">
      <c r="B13" s="117" t="s">
        <v>280</v>
      </c>
      <c r="C13" s="58" t="s">
        <v>275</v>
      </c>
      <c r="D13" s="156"/>
      <c r="E13" s="147">
        <f>IFERROR(INT(ROUNDUP(Table1[[#This Row],[Lo Hrs.]]*(1+VLOOKUP(Table1[[#This Row],[Rate]],'Configuration Table'!A:C,3,FALSE)),0)),0)</f>
        <v>0</v>
      </c>
      <c r="F13" s="126">
        <f>IFERROR(Table1[[#This Row],[Lo Hrs.]]*VLOOKUP(Table1[[#This Row],[Rate]],'Configuration Table'!A:B,2,FALSE),0)</f>
        <v>0</v>
      </c>
      <c r="G13" s="126">
        <f>IFERROR(Table1[[#This Row],[Hi Hrs.]]*VLOOKUP(Table1[[#This Row],[Rate]],'Configuration Table'!A:B,2,FALSE),0)</f>
        <v>0</v>
      </c>
      <c r="H13" s="127" t="str">
        <f>IFERROR(VLOOKUP(Table1[[#This Row],[Rate]],'Configuration Table'!A:G,7,FALSE),"")</f>
        <v>Orange</v>
      </c>
      <c r="I13" s="127" t="str">
        <f>IFERROR(VLOOKUP(Table1[[#This Row],[Rate]],'Configuration Table'!A:G,5,FALSE),"")</f>
        <v>Integration</v>
      </c>
      <c r="J13" s="127" t="str">
        <f>IFERROR(VLOOKUP(Table1[[#This Row],[Rate]],'Configuration Table'!A:G,6,FALSE),"")</f>
        <v>Integration Hourly Rate ($175/hr. for post-pay)</v>
      </c>
      <c r="K13" s="55">
        <v>1</v>
      </c>
      <c r="L13" s="55"/>
      <c r="M13" s="55"/>
      <c r="N13" s="127">
        <f>Table1[[#This Row],[Lo Hrs.]]*Table1[[#This Row],[P1%]]</f>
        <v>0</v>
      </c>
      <c r="O13" s="127">
        <f>Table1[[#This Row],[Hi Hrs.]]*Table1[[#This Row],[P1%]]</f>
        <v>0</v>
      </c>
      <c r="P13" s="126">
        <f>Table1[[#This Row],[Lo Cost Est]]*Table1[[#This Row],[P1%]]</f>
        <v>0</v>
      </c>
      <c r="Q13" s="126">
        <f>Table1[[#This Row],[Hi Cost Est]]*Table1[[#This Row],[P1%]]</f>
        <v>0</v>
      </c>
      <c r="R13" s="127">
        <f>Table1[[#This Row],[Lo Hrs.]]*Table1[[#This Row],[P2%]]</f>
        <v>0</v>
      </c>
      <c r="S13" s="127">
        <f>Table1[[#This Row],[Hi Hrs.]]*Table1[[#This Row],[P2%]]</f>
        <v>0</v>
      </c>
      <c r="T13" s="126">
        <f>Table1[[#This Row],[Lo Cost Est]]*Table1[[#This Row],[P2%]]</f>
        <v>0</v>
      </c>
      <c r="U13" s="126">
        <f>Table1[[#This Row],[Hi Cost Est]]*Table1[[#This Row],[P2%]]</f>
        <v>0</v>
      </c>
      <c r="V13" s="127">
        <f>Table1[[#This Row],[Lo Hrs.]]*Table1[[#This Row],[P3%]]</f>
        <v>0</v>
      </c>
      <c r="W13" s="127">
        <f>Table1[[#This Row],[Hi Hrs.]]*Table1[[#This Row],[P3%]]</f>
        <v>0</v>
      </c>
      <c r="X13" s="126">
        <f>Table1[[#This Row],[Lo Cost Est]]*Table1[[#This Row],[P3%]]</f>
        <v>0</v>
      </c>
      <c r="Y13" s="126">
        <f>Table1[[#This Row],[Hi Cost Est]]*Table1[[#This Row],[P3%]]</f>
        <v>0</v>
      </c>
      <c r="Z13" s="128" t="s">
        <v>283</v>
      </c>
      <c r="AA13" s="161"/>
    </row>
    <row r="14" spans="2:40" ht="30" x14ac:dyDescent="0.25">
      <c r="B14" s="117" t="s">
        <v>281</v>
      </c>
      <c r="C14" s="58" t="s">
        <v>275</v>
      </c>
      <c r="D14" s="156"/>
      <c r="E14" s="147">
        <f>IFERROR(INT(ROUNDUP(Table1[[#This Row],[Lo Hrs.]]*(1+VLOOKUP(Table1[[#This Row],[Rate]],'Configuration Table'!A:C,3,FALSE)),0)),0)</f>
        <v>0</v>
      </c>
      <c r="F14" s="126">
        <f>IFERROR(Table1[[#This Row],[Lo Hrs.]]*VLOOKUP(Table1[[#This Row],[Rate]],'Configuration Table'!A:B,2,FALSE),0)</f>
        <v>0</v>
      </c>
      <c r="G14" s="126">
        <f>IFERROR(Table1[[#This Row],[Hi Hrs.]]*VLOOKUP(Table1[[#This Row],[Rate]],'Configuration Table'!A:B,2,FALSE),0)</f>
        <v>0</v>
      </c>
      <c r="H14" s="127" t="str">
        <f>IFERROR(VLOOKUP(Table1[[#This Row],[Rate]],'Configuration Table'!A:G,7,FALSE),"")</f>
        <v>Orange</v>
      </c>
      <c r="I14" s="127" t="str">
        <f>IFERROR(VLOOKUP(Table1[[#This Row],[Rate]],'Configuration Table'!A:G,5,FALSE),"")</f>
        <v>Integration</v>
      </c>
      <c r="J14" s="127" t="str">
        <f>IFERROR(VLOOKUP(Table1[[#This Row],[Rate]],'Configuration Table'!A:G,6,FALSE),"")</f>
        <v>Integration Hourly Rate ($175/hr. for post-pay)</v>
      </c>
      <c r="K14" s="55">
        <v>1</v>
      </c>
      <c r="L14" s="55"/>
      <c r="M14" s="55"/>
      <c r="N14" s="127">
        <f>Table1[[#This Row],[Lo Hrs.]]*Table1[[#This Row],[P1%]]</f>
        <v>0</v>
      </c>
      <c r="O14" s="127">
        <f>Table1[[#This Row],[Hi Hrs.]]*Table1[[#This Row],[P1%]]</f>
        <v>0</v>
      </c>
      <c r="P14" s="126">
        <f>Table1[[#This Row],[Lo Cost Est]]*Table1[[#This Row],[P1%]]</f>
        <v>0</v>
      </c>
      <c r="Q14" s="126">
        <f>Table1[[#This Row],[Hi Cost Est]]*Table1[[#This Row],[P1%]]</f>
        <v>0</v>
      </c>
      <c r="R14" s="127">
        <f>Table1[[#This Row],[Lo Hrs.]]*Table1[[#This Row],[P2%]]</f>
        <v>0</v>
      </c>
      <c r="S14" s="127">
        <f>Table1[[#This Row],[Hi Hrs.]]*Table1[[#This Row],[P2%]]</f>
        <v>0</v>
      </c>
      <c r="T14" s="126">
        <f>Table1[[#This Row],[Lo Cost Est]]*Table1[[#This Row],[P2%]]</f>
        <v>0</v>
      </c>
      <c r="U14" s="126">
        <f>Table1[[#This Row],[Hi Cost Est]]*Table1[[#This Row],[P2%]]</f>
        <v>0</v>
      </c>
      <c r="V14" s="127">
        <f>Table1[[#This Row],[Lo Hrs.]]*Table1[[#This Row],[P3%]]</f>
        <v>0</v>
      </c>
      <c r="W14" s="127">
        <f>Table1[[#This Row],[Hi Hrs.]]*Table1[[#This Row],[P3%]]</f>
        <v>0</v>
      </c>
      <c r="X14" s="126">
        <f>Table1[[#This Row],[Lo Cost Est]]*Table1[[#This Row],[P3%]]</f>
        <v>0</v>
      </c>
      <c r="Y14" s="126">
        <f>Table1[[#This Row],[Hi Cost Est]]*Table1[[#This Row],[P3%]]</f>
        <v>0</v>
      </c>
      <c r="Z14" s="128" t="s">
        <v>284</v>
      </c>
      <c r="AA14" s="161"/>
    </row>
    <row r="15" spans="2:40" x14ac:dyDescent="0.25">
      <c r="B15" s="117"/>
      <c r="C15" s="58" t="s">
        <v>275</v>
      </c>
      <c r="D15" s="156"/>
      <c r="E15" s="147">
        <f>IFERROR(INT(ROUNDUP(Table1[[#This Row],[Lo Hrs.]]*(1+VLOOKUP(Table1[[#This Row],[Rate]],'Configuration Table'!A:C,3,FALSE)),0)),0)</f>
        <v>0</v>
      </c>
      <c r="F15" s="126">
        <f>IFERROR(Table1[[#This Row],[Lo Hrs.]]*VLOOKUP(Table1[[#This Row],[Rate]],'Configuration Table'!A:B,2,FALSE),0)</f>
        <v>0</v>
      </c>
      <c r="G15" s="126">
        <f>IFERROR(Table1[[#This Row],[Hi Hrs.]]*VLOOKUP(Table1[[#This Row],[Rate]],'Configuration Table'!A:B,2,FALSE),0)</f>
        <v>0</v>
      </c>
      <c r="H15" s="127" t="str">
        <f>IFERROR(VLOOKUP(Table1[[#This Row],[Rate]],'Configuration Table'!A:G,7,FALSE),"")</f>
        <v>Orange</v>
      </c>
      <c r="I15" s="127" t="str">
        <f>IFERROR(VLOOKUP(Table1[[#This Row],[Rate]],'Configuration Table'!A:G,5,FALSE),"")</f>
        <v>Integration</v>
      </c>
      <c r="J15" s="127" t="str">
        <f>IFERROR(VLOOKUP(Table1[[#This Row],[Rate]],'Configuration Table'!A:G,6,FALSE),"")</f>
        <v>Integration Hourly Rate ($175/hr. for post-pay)</v>
      </c>
      <c r="K15" s="55"/>
      <c r="L15" s="55">
        <v>1</v>
      </c>
      <c r="M15" s="55"/>
      <c r="N15" s="127">
        <f>Table1[[#This Row],[Lo Hrs.]]*Table1[[#This Row],[P1%]]</f>
        <v>0</v>
      </c>
      <c r="O15" s="127">
        <f>Table1[[#This Row],[Hi Hrs.]]*Table1[[#This Row],[P1%]]</f>
        <v>0</v>
      </c>
      <c r="P15" s="126">
        <f>Table1[[#This Row],[Lo Cost Est]]*Table1[[#This Row],[P1%]]</f>
        <v>0</v>
      </c>
      <c r="Q15" s="126">
        <f>Table1[[#This Row],[Hi Cost Est]]*Table1[[#This Row],[P1%]]</f>
        <v>0</v>
      </c>
      <c r="R15" s="127">
        <f>Table1[[#This Row],[Lo Hrs.]]*Table1[[#This Row],[P2%]]</f>
        <v>0</v>
      </c>
      <c r="S15" s="127">
        <f>Table1[[#This Row],[Hi Hrs.]]*Table1[[#This Row],[P2%]]</f>
        <v>0</v>
      </c>
      <c r="T15" s="126">
        <f>Table1[[#This Row],[Lo Cost Est]]*Table1[[#This Row],[P2%]]</f>
        <v>0</v>
      </c>
      <c r="U15" s="126">
        <f>Table1[[#This Row],[Hi Cost Est]]*Table1[[#This Row],[P2%]]</f>
        <v>0</v>
      </c>
      <c r="V15" s="127">
        <f>Table1[[#This Row],[Lo Hrs.]]*Table1[[#This Row],[P3%]]</f>
        <v>0</v>
      </c>
      <c r="W15" s="127">
        <f>Table1[[#This Row],[Hi Hrs.]]*Table1[[#This Row],[P3%]]</f>
        <v>0</v>
      </c>
      <c r="X15" s="126">
        <f>Table1[[#This Row],[Lo Cost Est]]*Table1[[#This Row],[P3%]]</f>
        <v>0</v>
      </c>
      <c r="Y15" s="126">
        <f>Table1[[#This Row],[Hi Cost Est]]*Table1[[#This Row],[P3%]]</f>
        <v>0</v>
      </c>
      <c r="Z15" s="128"/>
      <c r="AA15" s="161"/>
    </row>
    <row r="16" spans="2:40" x14ac:dyDescent="0.25">
      <c r="B16" s="117"/>
      <c r="C16" s="58" t="s">
        <v>275</v>
      </c>
      <c r="D16" s="156"/>
      <c r="E16" s="147">
        <f>IFERROR(INT(ROUNDUP(Table1[[#This Row],[Lo Hrs.]]*(1+VLOOKUP(Table1[[#This Row],[Rate]],'Configuration Table'!A:C,3,FALSE)),0)),0)</f>
        <v>0</v>
      </c>
      <c r="F16" s="126">
        <f>IFERROR(Table1[[#This Row],[Lo Hrs.]]*VLOOKUP(Table1[[#This Row],[Rate]],'Configuration Table'!A:B,2,FALSE),0)</f>
        <v>0</v>
      </c>
      <c r="G16" s="126">
        <f>IFERROR(Table1[[#This Row],[Hi Hrs.]]*VLOOKUP(Table1[[#This Row],[Rate]],'Configuration Table'!A:B,2,FALSE),0)</f>
        <v>0</v>
      </c>
      <c r="H16" s="127" t="str">
        <f>IFERROR(VLOOKUP(Table1[[#This Row],[Rate]],'Configuration Table'!A:G,7,FALSE),"")</f>
        <v>Orange</v>
      </c>
      <c r="I16" s="127" t="str">
        <f>IFERROR(VLOOKUP(Table1[[#This Row],[Rate]],'Configuration Table'!A:G,5,FALSE),"")</f>
        <v>Integration</v>
      </c>
      <c r="J16" s="127" t="str">
        <f>IFERROR(VLOOKUP(Table1[[#This Row],[Rate]],'Configuration Table'!A:G,6,FALSE),"")</f>
        <v>Integration Hourly Rate ($175/hr. for post-pay)</v>
      </c>
      <c r="K16" s="55"/>
      <c r="L16" s="55">
        <v>1</v>
      </c>
      <c r="M16" s="55"/>
      <c r="N16" s="127">
        <f>Table1[[#This Row],[Lo Hrs.]]*Table1[[#This Row],[P1%]]</f>
        <v>0</v>
      </c>
      <c r="O16" s="127">
        <f>Table1[[#This Row],[Hi Hrs.]]*Table1[[#This Row],[P1%]]</f>
        <v>0</v>
      </c>
      <c r="P16" s="126">
        <f>Table1[[#This Row],[Lo Cost Est]]*Table1[[#This Row],[P1%]]</f>
        <v>0</v>
      </c>
      <c r="Q16" s="126">
        <f>Table1[[#This Row],[Hi Cost Est]]*Table1[[#This Row],[P1%]]</f>
        <v>0</v>
      </c>
      <c r="R16" s="127">
        <f>Table1[[#This Row],[Lo Hrs.]]*Table1[[#This Row],[P2%]]</f>
        <v>0</v>
      </c>
      <c r="S16" s="127">
        <f>Table1[[#This Row],[Hi Hrs.]]*Table1[[#This Row],[P2%]]</f>
        <v>0</v>
      </c>
      <c r="T16" s="126">
        <f>Table1[[#This Row],[Lo Cost Est]]*Table1[[#This Row],[P2%]]</f>
        <v>0</v>
      </c>
      <c r="U16" s="126">
        <f>Table1[[#This Row],[Hi Cost Est]]*Table1[[#This Row],[P2%]]</f>
        <v>0</v>
      </c>
      <c r="V16" s="127">
        <f>Table1[[#This Row],[Lo Hrs.]]*Table1[[#This Row],[P3%]]</f>
        <v>0</v>
      </c>
      <c r="W16" s="127">
        <f>Table1[[#This Row],[Hi Hrs.]]*Table1[[#This Row],[P3%]]</f>
        <v>0</v>
      </c>
      <c r="X16" s="126">
        <f>Table1[[#This Row],[Lo Cost Est]]*Table1[[#This Row],[P3%]]</f>
        <v>0</v>
      </c>
      <c r="Y16" s="126">
        <f>Table1[[#This Row],[Hi Cost Est]]*Table1[[#This Row],[P3%]]</f>
        <v>0</v>
      </c>
      <c r="Z16" s="128"/>
      <c r="AA16" s="161"/>
    </row>
    <row r="17" spans="2:27" x14ac:dyDescent="0.25">
      <c r="B17" s="117"/>
      <c r="C17" s="58" t="s">
        <v>275</v>
      </c>
      <c r="D17" s="156"/>
      <c r="E17" s="147">
        <f>IFERROR(INT(ROUNDUP(Table1[[#This Row],[Lo Hrs.]]*(1+VLOOKUP(Table1[[#This Row],[Rate]],'Configuration Table'!A:C,3,FALSE)),0)),0)</f>
        <v>0</v>
      </c>
      <c r="F17" s="126">
        <f>IFERROR(Table1[[#This Row],[Lo Hrs.]]*VLOOKUP(Table1[[#This Row],[Rate]],'Configuration Table'!A:B,2,FALSE),0)</f>
        <v>0</v>
      </c>
      <c r="G17" s="126">
        <f>IFERROR(Table1[[#This Row],[Hi Hrs.]]*VLOOKUP(Table1[[#This Row],[Rate]],'Configuration Table'!A:B,2,FALSE),0)</f>
        <v>0</v>
      </c>
      <c r="H17" s="127" t="str">
        <f>IFERROR(VLOOKUP(Table1[[#This Row],[Rate]],'Configuration Table'!A:G,7,FALSE),"")</f>
        <v>Orange</v>
      </c>
      <c r="I17" s="127" t="str">
        <f>IFERROR(VLOOKUP(Table1[[#This Row],[Rate]],'Configuration Table'!A:G,5,FALSE),"")</f>
        <v>Integration</v>
      </c>
      <c r="J17" s="127" t="str">
        <f>IFERROR(VLOOKUP(Table1[[#This Row],[Rate]],'Configuration Table'!A:G,6,FALSE),"")</f>
        <v>Integration Hourly Rate ($175/hr. for post-pay)</v>
      </c>
      <c r="K17" s="55"/>
      <c r="L17" s="55">
        <v>1</v>
      </c>
      <c r="M17" s="55"/>
      <c r="N17" s="127">
        <f>Table1[[#This Row],[Lo Hrs.]]*Table1[[#This Row],[P1%]]</f>
        <v>0</v>
      </c>
      <c r="O17" s="127">
        <f>Table1[[#This Row],[Hi Hrs.]]*Table1[[#This Row],[P1%]]</f>
        <v>0</v>
      </c>
      <c r="P17" s="126">
        <f>Table1[[#This Row],[Lo Cost Est]]*Table1[[#This Row],[P1%]]</f>
        <v>0</v>
      </c>
      <c r="Q17" s="126">
        <f>Table1[[#This Row],[Hi Cost Est]]*Table1[[#This Row],[P1%]]</f>
        <v>0</v>
      </c>
      <c r="R17" s="127">
        <f>Table1[[#This Row],[Lo Hrs.]]*Table1[[#This Row],[P2%]]</f>
        <v>0</v>
      </c>
      <c r="S17" s="127">
        <f>Table1[[#This Row],[Hi Hrs.]]*Table1[[#This Row],[P2%]]</f>
        <v>0</v>
      </c>
      <c r="T17" s="126">
        <f>Table1[[#This Row],[Lo Cost Est]]*Table1[[#This Row],[P2%]]</f>
        <v>0</v>
      </c>
      <c r="U17" s="126">
        <f>Table1[[#This Row],[Hi Cost Est]]*Table1[[#This Row],[P2%]]</f>
        <v>0</v>
      </c>
      <c r="V17" s="127">
        <f>Table1[[#This Row],[Lo Hrs.]]*Table1[[#This Row],[P3%]]</f>
        <v>0</v>
      </c>
      <c r="W17" s="127">
        <f>Table1[[#This Row],[Hi Hrs.]]*Table1[[#This Row],[P3%]]</f>
        <v>0</v>
      </c>
      <c r="X17" s="126">
        <f>Table1[[#This Row],[Lo Cost Est]]*Table1[[#This Row],[P3%]]</f>
        <v>0</v>
      </c>
      <c r="Y17" s="126">
        <f>Table1[[#This Row],[Hi Cost Est]]*Table1[[#This Row],[P3%]]</f>
        <v>0</v>
      </c>
      <c r="Z17" s="128"/>
      <c r="AA17" s="161"/>
    </row>
    <row r="18" spans="2:27" x14ac:dyDescent="0.25">
      <c r="B18" s="117"/>
      <c r="C18" s="58" t="s">
        <v>275</v>
      </c>
      <c r="D18" s="156"/>
      <c r="E18" s="147">
        <f>IFERROR(INT(ROUNDUP(Table1[[#This Row],[Lo Hrs.]]*(1+VLOOKUP(Table1[[#This Row],[Rate]],'Configuration Table'!A:C,3,FALSE)),0)),0)</f>
        <v>0</v>
      </c>
      <c r="F18" s="126">
        <f>IFERROR(Table1[[#This Row],[Lo Hrs.]]*VLOOKUP(Table1[[#This Row],[Rate]],'Configuration Table'!A:B,2,FALSE),0)</f>
        <v>0</v>
      </c>
      <c r="G18" s="126">
        <f>IFERROR(Table1[[#This Row],[Hi Hrs.]]*VLOOKUP(Table1[[#This Row],[Rate]],'Configuration Table'!A:B,2,FALSE),0)</f>
        <v>0</v>
      </c>
      <c r="H18" s="127" t="str">
        <f>IFERROR(VLOOKUP(Table1[[#This Row],[Rate]],'Configuration Table'!A:G,7,FALSE),"")</f>
        <v>Orange</v>
      </c>
      <c r="I18" s="127" t="str">
        <f>IFERROR(VLOOKUP(Table1[[#This Row],[Rate]],'Configuration Table'!A:G,5,FALSE),"")</f>
        <v>Integration</v>
      </c>
      <c r="J18" s="127" t="str">
        <f>IFERROR(VLOOKUP(Table1[[#This Row],[Rate]],'Configuration Table'!A:G,6,FALSE),"")</f>
        <v>Integration Hourly Rate ($175/hr. for post-pay)</v>
      </c>
      <c r="K18" s="55"/>
      <c r="L18" s="55">
        <v>1</v>
      </c>
      <c r="M18" s="55"/>
      <c r="N18" s="127">
        <f>Table1[[#This Row],[Lo Hrs.]]*Table1[[#This Row],[P1%]]</f>
        <v>0</v>
      </c>
      <c r="O18" s="127">
        <f>Table1[[#This Row],[Hi Hrs.]]*Table1[[#This Row],[P1%]]</f>
        <v>0</v>
      </c>
      <c r="P18" s="126">
        <f>Table1[[#This Row],[Lo Cost Est]]*Table1[[#This Row],[P1%]]</f>
        <v>0</v>
      </c>
      <c r="Q18" s="126">
        <f>Table1[[#This Row],[Hi Cost Est]]*Table1[[#This Row],[P1%]]</f>
        <v>0</v>
      </c>
      <c r="R18" s="127">
        <f>Table1[[#This Row],[Lo Hrs.]]*Table1[[#This Row],[P2%]]</f>
        <v>0</v>
      </c>
      <c r="S18" s="127">
        <f>Table1[[#This Row],[Hi Hrs.]]*Table1[[#This Row],[P2%]]</f>
        <v>0</v>
      </c>
      <c r="T18" s="126">
        <f>Table1[[#This Row],[Lo Cost Est]]*Table1[[#This Row],[P2%]]</f>
        <v>0</v>
      </c>
      <c r="U18" s="126">
        <f>Table1[[#This Row],[Hi Cost Est]]*Table1[[#This Row],[P2%]]</f>
        <v>0</v>
      </c>
      <c r="V18" s="127">
        <f>Table1[[#This Row],[Lo Hrs.]]*Table1[[#This Row],[P3%]]</f>
        <v>0</v>
      </c>
      <c r="W18" s="127">
        <f>Table1[[#This Row],[Hi Hrs.]]*Table1[[#This Row],[P3%]]</f>
        <v>0</v>
      </c>
      <c r="X18" s="126">
        <f>Table1[[#This Row],[Lo Cost Est]]*Table1[[#This Row],[P3%]]</f>
        <v>0</v>
      </c>
      <c r="Y18" s="126">
        <f>Table1[[#This Row],[Hi Cost Est]]*Table1[[#This Row],[P3%]]</f>
        <v>0</v>
      </c>
      <c r="Z18" s="128"/>
      <c r="AA18" s="161"/>
    </row>
    <row r="19" spans="2:27" x14ac:dyDescent="0.25">
      <c r="B19" s="117"/>
      <c r="C19" s="58" t="s">
        <v>275</v>
      </c>
      <c r="D19" s="155"/>
      <c r="E19" s="146">
        <f>IFERROR(INT(ROUNDUP(Table1[[#This Row],[Lo Hrs.]]*(1+VLOOKUP(Table1[[#This Row],[Rate]],'Configuration Table'!A:C,3,FALSE)),0)),0)</f>
        <v>0</v>
      </c>
      <c r="F19" s="126">
        <f>IFERROR(Table1[[#This Row],[Lo Hrs.]]*VLOOKUP(Table1[[#This Row],[Rate]],'Configuration Table'!A:B,2,FALSE),0)</f>
        <v>0</v>
      </c>
      <c r="G19" s="126">
        <f>IFERROR(Table1[[#This Row],[Hi Hrs.]]*VLOOKUP(Table1[[#This Row],[Rate]],'Configuration Table'!A:B,2,FALSE),0)</f>
        <v>0</v>
      </c>
      <c r="H19" s="127" t="str">
        <f>IFERROR(VLOOKUP(Table1[[#This Row],[Rate]],'Configuration Table'!A:G,7,FALSE),"")</f>
        <v>Orange</v>
      </c>
      <c r="I19" s="127" t="str">
        <f>IFERROR(VLOOKUP(Table1[[#This Row],[Rate]],'Configuration Table'!A:G,5,FALSE),"")</f>
        <v>Integration</v>
      </c>
      <c r="J19" s="127" t="str">
        <f>IFERROR(VLOOKUP(Table1[[#This Row],[Rate]],'Configuration Table'!A:G,6,FALSE),"")</f>
        <v>Integration Hourly Rate ($175/hr. for post-pay)</v>
      </c>
      <c r="K19" s="55"/>
      <c r="L19" s="55">
        <v>1</v>
      </c>
      <c r="M19" s="55"/>
      <c r="N19" s="127">
        <f>Table1[[#This Row],[Lo Hrs.]]*Table1[[#This Row],[P1%]]</f>
        <v>0</v>
      </c>
      <c r="O19" s="127">
        <f>Table1[[#This Row],[Hi Hrs.]]*Table1[[#This Row],[P1%]]</f>
        <v>0</v>
      </c>
      <c r="P19" s="126">
        <f>Table1[[#This Row],[Lo Cost Est]]*Table1[[#This Row],[P1%]]</f>
        <v>0</v>
      </c>
      <c r="Q19" s="126">
        <f>Table1[[#This Row],[Hi Cost Est]]*Table1[[#This Row],[P1%]]</f>
        <v>0</v>
      </c>
      <c r="R19" s="127">
        <f>Table1[[#This Row],[Lo Hrs.]]*Table1[[#This Row],[P2%]]</f>
        <v>0</v>
      </c>
      <c r="S19" s="127">
        <f>Table1[[#This Row],[Hi Hrs.]]*Table1[[#This Row],[P2%]]</f>
        <v>0</v>
      </c>
      <c r="T19" s="126">
        <f>Table1[[#This Row],[Lo Cost Est]]*Table1[[#This Row],[P2%]]</f>
        <v>0</v>
      </c>
      <c r="U19" s="126">
        <f>Table1[[#This Row],[Hi Cost Est]]*Table1[[#This Row],[P2%]]</f>
        <v>0</v>
      </c>
      <c r="V19" s="127">
        <f>Table1[[#This Row],[Lo Hrs.]]*Table1[[#This Row],[P3%]]</f>
        <v>0</v>
      </c>
      <c r="W19" s="127">
        <f>Table1[[#This Row],[Hi Hrs.]]*Table1[[#This Row],[P3%]]</f>
        <v>0</v>
      </c>
      <c r="X19" s="126">
        <f>Table1[[#This Row],[Lo Cost Est]]*Table1[[#This Row],[P3%]]</f>
        <v>0</v>
      </c>
      <c r="Y19" s="126">
        <f>Table1[[#This Row],[Hi Cost Est]]*Table1[[#This Row],[P3%]]</f>
        <v>0</v>
      </c>
      <c r="Z19" s="128"/>
      <c r="AA19" s="161"/>
    </row>
    <row r="20" spans="2:27" x14ac:dyDescent="0.25">
      <c r="B20" s="117"/>
      <c r="C20" s="58" t="s">
        <v>275</v>
      </c>
      <c r="D20" s="153"/>
      <c r="E20" s="144">
        <f>IFERROR(INT(ROUNDUP(Table1[[#This Row],[Lo Hrs.]]*(1+VLOOKUP(Table1[[#This Row],[Rate]],'Configuration Table'!A:C,3,FALSE)),0)),0)</f>
        <v>0</v>
      </c>
      <c r="F20" s="3">
        <f>IFERROR(Table1[[#This Row],[Lo Hrs.]]*VLOOKUP(Table1[[#This Row],[Rate]],'Configuration Table'!A:B,2,FALSE),0)</f>
        <v>0</v>
      </c>
      <c r="G20" s="3">
        <f>IFERROR(Table1[[#This Row],[Hi Hrs.]]*VLOOKUP(Table1[[#This Row],[Rate]],'Configuration Table'!A:B,2,FALSE),0)</f>
        <v>0</v>
      </c>
      <c r="H20" t="str">
        <f>IFERROR(VLOOKUP(Table1[[#This Row],[Rate]],'Configuration Table'!A:G,7,FALSE),"")</f>
        <v>Orange</v>
      </c>
      <c r="I20" t="str">
        <f>IFERROR(VLOOKUP(Table1[[#This Row],[Rate]],'Configuration Table'!A:G,5,FALSE),"")</f>
        <v>Integration</v>
      </c>
      <c r="J20" t="str">
        <f>IFERROR(VLOOKUP(Table1[[#This Row],[Rate]],'Configuration Table'!A:G,6,FALSE),"")</f>
        <v>Integration Hourly Rate ($175/hr. for post-pay)</v>
      </c>
      <c r="K20" s="55"/>
      <c r="L20" s="55">
        <v>1</v>
      </c>
      <c r="M20" s="55"/>
      <c r="N20">
        <f>Table1[[#This Row],[Lo Hrs.]]*Table1[[#This Row],[P1%]]</f>
        <v>0</v>
      </c>
      <c r="O20">
        <f>Table1[[#This Row],[Hi Hrs.]]*Table1[[#This Row],[P1%]]</f>
        <v>0</v>
      </c>
      <c r="P20" s="3">
        <f>Table1[[#This Row],[Lo Cost Est]]*Table1[[#This Row],[P1%]]</f>
        <v>0</v>
      </c>
      <c r="Q20" s="3">
        <f>Table1[[#This Row],[Hi Cost Est]]*Table1[[#This Row],[P1%]]</f>
        <v>0</v>
      </c>
      <c r="R20">
        <f>Table1[[#This Row],[Lo Hrs.]]*Table1[[#This Row],[P2%]]</f>
        <v>0</v>
      </c>
      <c r="S20">
        <f>Table1[[#This Row],[Hi Hrs.]]*Table1[[#This Row],[P2%]]</f>
        <v>0</v>
      </c>
      <c r="T20" s="3">
        <f>Table1[[#This Row],[Lo Cost Est]]*Table1[[#This Row],[P2%]]</f>
        <v>0</v>
      </c>
      <c r="U20" s="3">
        <f>Table1[[#This Row],[Hi Cost Est]]*Table1[[#This Row],[P2%]]</f>
        <v>0</v>
      </c>
      <c r="V20">
        <f>Table1[[#This Row],[Lo Hrs.]]*Table1[[#This Row],[P3%]]</f>
        <v>0</v>
      </c>
      <c r="W20">
        <f>Table1[[#This Row],[Hi Hrs.]]*Table1[[#This Row],[P3%]]</f>
        <v>0</v>
      </c>
      <c r="X20" s="3">
        <f>Table1[[#This Row],[Lo Cost Est]]*Table1[[#This Row],[P3%]]</f>
        <v>0</v>
      </c>
      <c r="Y20" s="3">
        <f>Table1[[#This Row],[Hi Cost Est]]*Table1[[#This Row],[P3%]]</f>
        <v>0</v>
      </c>
      <c r="Z20" s="118"/>
      <c r="AA20" s="161"/>
    </row>
    <row r="21" spans="2:27" x14ac:dyDescent="0.25">
      <c r="B21" s="117"/>
      <c r="C21" s="58" t="s">
        <v>275</v>
      </c>
      <c r="D21" s="153"/>
      <c r="E21" s="144">
        <f>IFERROR(INT(ROUNDUP(Table1[[#This Row],[Lo Hrs.]]*(1+VLOOKUP(Table1[[#This Row],[Rate]],'Configuration Table'!A:C,3,FALSE)),0)),0)</f>
        <v>0</v>
      </c>
      <c r="F21" s="3">
        <f>IFERROR(Table1[[#This Row],[Lo Hrs.]]*VLOOKUP(Table1[[#This Row],[Rate]],'Configuration Table'!A:B,2,FALSE),0)</f>
        <v>0</v>
      </c>
      <c r="G21" s="3">
        <f>IFERROR(Table1[[#This Row],[Hi Hrs.]]*VLOOKUP(Table1[[#This Row],[Rate]],'Configuration Table'!A:B,2,FALSE),0)</f>
        <v>0</v>
      </c>
      <c r="H21" t="str">
        <f>IFERROR(VLOOKUP(Table1[[#This Row],[Rate]],'Configuration Table'!A:G,7,FALSE),"")</f>
        <v>Orange</v>
      </c>
      <c r="I21" t="str">
        <f>IFERROR(VLOOKUP(Table1[[#This Row],[Rate]],'Configuration Table'!A:G,5,FALSE),"")</f>
        <v>Integration</v>
      </c>
      <c r="J21" t="str">
        <f>IFERROR(VLOOKUP(Table1[[#This Row],[Rate]],'Configuration Table'!A:G,6,FALSE),"")</f>
        <v>Integration Hourly Rate ($175/hr. for post-pay)</v>
      </c>
      <c r="K21" s="55"/>
      <c r="L21" s="55">
        <v>1</v>
      </c>
      <c r="M21" s="55"/>
      <c r="N21">
        <f>Table1[[#This Row],[Lo Hrs.]]*Table1[[#This Row],[P1%]]</f>
        <v>0</v>
      </c>
      <c r="O21">
        <f>Table1[[#This Row],[Hi Hrs.]]*Table1[[#This Row],[P1%]]</f>
        <v>0</v>
      </c>
      <c r="P21" s="3">
        <f>Table1[[#This Row],[Lo Cost Est]]*Table1[[#This Row],[P1%]]</f>
        <v>0</v>
      </c>
      <c r="Q21" s="3">
        <f>Table1[[#This Row],[Hi Cost Est]]*Table1[[#This Row],[P1%]]</f>
        <v>0</v>
      </c>
      <c r="R21">
        <f>Table1[[#This Row],[Lo Hrs.]]*Table1[[#This Row],[P2%]]</f>
        <v>0</v>
      </c>
      <c r="S21">
        <f>Table1[[#This Row],[Hi Hrs.]]*Table1[[#This Row],[P2%]]</f>
        <v>0</v>
      </c>
      <c r="T21" s="3">
        <f>Table1[[#This Row],[Lo Cost Est]]*Table1[[#This Row],[P2%]]</f>
        <v>0</v>
      </c>
      <c r="U21" s="3">
        <f>Table1[[#This Row],[Hi Cost Est]]*Table1[[#This Row],[P2%]]</f>
        <v>0</v>
      </c>
      <c r="V21">
        <f>Table1[[#This Row],[Lo Hrs.]]*Table1[[#This Row],[P3%]]</f>
        <v>0</v>
      </c>
      <c r="W21">
        <f>Table1[[#This Row],[Hi Hrs.]]*Table1[[#This Row],[P3%]]</f>
        <v>0</v>
      </c>
      <c r="X21" s="3">
        <f>Table1[[#This Row],[Lo Cost Est]]*Table1[[#This Row],[P3%]]</f>
        <v>0</v>
      </c>
      <c r="Y21" s="3">
        <f>Table1[[#This Row],[Hi Cost Est]]*Table1[[#This Row],[P3%]]</f>
        <v>0</v>
      </c>
      <c r="Z21" s="118"/>
      <c r="AA21" s="161"/>
    </row>
    <row r="22" spans="2:27" ht="15.75" thickBot="1" x14ac:dyDescent="0.3">
      <c r="B22" s="120"/>
      <c r="C22" s="121" t="s">
        <v>275</v>
      </c>
      <c r="D22" s="154"/>
      <c r="E22" s="145">
        <f>IFERROR(INT(ROUNDUP(Table1[[#This Row],[Lo Hrs.]]*(1+VLOOKUP(Table1[[#This Row],[Rate]],'Configuration Table'!A:C,3,FALSE)),0)),0)</f>
        <v>0</v>
      </c>
      <c r="F22" s="122">
        <f>IFERROR(Table1[[#This Row],[Lo Hrs.]]*VLOOKUP(Table1[[#This Row],[Rate]],'Configuration Table'!A:B,2,FALSE),0)</f>
        <v>0</v>
      </c>
      <c r="G22" s="122">
        <f>IFERROR(Table1[[#This Row],[Hi Hrs.]]*VLOOKUP(Table1[[#This Row],[Rate]],'Configuration Table'!A:B,2,FALSE),0)</f>
        <v>0</v>
      </c>
      <c r="H22" s="123" t="str">
        <f>IFERROR(VLOOKUP(Table1[[#This Row],[Rate]],'Configuration Table'!A:G,7,FALSE),"")</f>
        <v>Orange</v>
      </c>
      <c r="I22" s="123" t="str">
        <f>IFERROR(VLOOKUP(Table1[[#This Row],[Rate]],'Configuration Table'!A:G,5,FALSE),"")</f>
        <v>Integration</v>
      </c>
      <c r="J22" s="123" t="str">
        <f>IFERROR(VLOOKUP(Table1[[#This Row],[Rate]],'Configuration Table'!A:G,6,FALSE),"")</f>
        <v>Integration Hourly Rate ($175/hr. for post-pay)</v>
      </c>
      <c r="K22" s="124"/>
      <c r="L22" s="124">
        <v>1</v>
      </c>
      <c r="M22" s="124"/>
      <c r="N22" s="123">
        <f>Table1[[#This Row],[Lo Hrs.]]*Table1[[#This Row],[P1%]]</f>
        <v>0</v>
      </c>
      <c r="O22" s="123">
        <f>Table1[[#This Row],[Hi Hrs.]]*Table1[[#This Row],[P1%]]</f>
        <v>0</v>
      </c>
      <c r="P22" s="122">
        <f>Table1[[#This Row],[Lo Cost Est]]*Table1[[#This Row],[P1%]]</f>
        <v>0</v>
      </c>
      <c r="Q22" s="122">
        <f>Table1[[#This Row],[Hi Cost Est]]*Table1[[#This Row],[P1%]]</f>
        <v>0</v>
      </c>
      <c r="R22" s="123">
        <f>Table1[[#This Row],[Lo Hrs.]]*Table1[[#This Row],[P2%]]</f>
        <v>0</v>
      </c>
      <c r="S22" s="123">
        <f>Table1[[#This Row],[Hi Hrs.]]*Table1[[#This Row],[P2%]]</f>
        <v>0</v>
      </c>
      <c r="T22" s="122">
        <f>Table1[[#This Row],[Lo Cost Est]]*Table1[[#This Row],[P2%]]</f>
        <v>0</v>
      </c>
      <c r="U22" s="122">
        <f>Table1[[#This Row],[Hi Cost Est]]*Table1[[#This Row],[P2%]]</f>
        <v>0</v>
      </c>
      <c r="V22" s="123">
        <f>Table1[[#This Row],[Lo Hrs.]]*Table1[[#This Row],[P3%]]</f>
        <v>0</v>
      </c>
      <c r="W22" s="123">
        <f>Table1[[#This Row],[Hi Hrs.]]*Table1[[#This Row],[P3%]]</f>
        <v>0</v>
      </c>
      <c r="X22" s="122">
        <f>Table1[[#This Row],[Lo Cost Est]]*Table1[[#This Row],[P3%]]</f>
        <v>0</v>
      </c>
      <c r="Y22" s="122">
        <f>Table1[[#This Row],[Hi Cost Est]]*Table1[[#This Row],[P3%]]</f>
        <v>0</v>
      </c>
      <c r="Z22" s="125"/>
      <c r="AA22" s="162"/>
    </row>
    <row r="23" spans="2:27" ht="38.25" customHeight="1" x14ac:dyDescent="0.25">
      <c r="B23" s="111" t="s">
        <v>285</v>
      </c>
      <c r="C23" s="139" t="s">
        <v>258</v>
      </c>
      <c r="D23" s="157">
        <f>ROUNDUP(SUM(D3:D22)*VLOOKUP(Table1[[#This Row],[Rate]],'Configuration Table'!A:D,4,FALSE),0)</f>
        <v>2</v>
      </c>
      <c r="E23" s="148">
        <f>ROUNDUP(SUM(E3:E22)*VLOOKUP(Table1[[#This Row],[Rate]],'Configuration Table'!A:D,4,FALSE),0)</f>
        <v>3</v>
      </c>
      <c r="F23" s="113">
        <f>IFERROR(Table1[[#This Row],[Lo Hrs.]]*VLOOKUP(Table1[[#This Row],[Rate]],'Configuration Table'!A:B,2,FALSE),0)</f>
        <v>300</v>
      </c>
      <c r="G23" s="113">
        <f>IFERROR(Table1[[#This Row],[Hi Hrs.]]*VLOOKUP(Table1[[#This Row],[Rate]],'Configuration Table'!A:B,2,FALSE),0)</f>
        <v>450</v>
      </c>
      <c r="H23" s="114" t="str">
        <f>IFERROR(VLOOKUP(Table1[[#This Row],[Rate]],'Configuration Table'!A:G,7,FALSE),"")</f>
        <v>Dark Yellow</v>
      </c>
      <c r="I23" s="114" t="str">
        <f>IFERROR(VLOOKUP(Table1[[#This Row],[Rate]],'Configuration Table'!A:G,5,FALSE),"")</f>
        <v>Business Analyst</v>
      </c>
      <c r="J23" s="114" t="str">
        <f>IFERROR(VLOOKUP(Table1[[#This Row],[Rate]],'Configuration Table'!A:G,6,FALSE),"")</f>
        <v>Business Analysts normally required with projects needing BE development)</v>
      </c>
      <c r="K23" s="115"/>
      <c r="L23" s="115">
        <v>1</v>
      </c>
      <c r="M23" s="115"/>
      <c r="N23" s="114">
        <f>Table1[[#This Row],[Lo Hrs.]]*Table1[[#This Row],[P1%]]</f>
        <v>0</v>
      </c>
      <c r="O23" s="114">
        <f>Table1[[#This Row],[Hi Hrs.]]*Table1[[#This Row],[P1%]]</f>
        <v>0</v>
      </c>
      <c r="P23" s="113">
        <f>Table1[[#This Row],[Lo Cost Est]]*Table1[[#This Row],[P1%]]</f>
        <v>0</v>
      </c>
      <c r="Q23" s="113">
        <f>Table1[[#This Row],[Hi Cost Est]]*Table1[[#This Row],[P1%]]</f>
        <v>0</v>
      </c>
      <c r="R23" s="114">
        <f>Table1[[#This Row],[Lo Hrs.]]*Table1[[#This Row],[P2%]]</f>
        <v>2</v>
      </c>
      <c r="S23" s="114">
        <f>Table1[[#This Row],[Hi Hrs.]]*Table1[[#This Row],[P2%]]</f>
        <v>3</v>
      </c>
      <c r="T23" s="113">
        <f>Table1[[#This Row],[Lo Cost Est]]*Table1[[#This Row],[P2%]]</f>
        <v>300</v>
      </c>
      <c r="U23" s="113">
        <f>Table1[[#This Row],[Hi Cost Est]]*Table1[[#This Row],[P2%]]</f>
        <v>450</v>
      </c>
      <c r="V23" s="114">
        <f>Table1[[#This Row],[Lo Hrs.]]*Table1[[#This Row],[P3%]]</f>
        <v>0</v>
      </c>
      <c r="W23" s="114">
        <f>Table1[[#This Row],[Hi Hrs.]]*Table1[[#This Row],[P3%]]</f>
        <v>0</v>
      </c>
      <c r="X23" s="113">
        <f>Table1[[#This Row],[Lo Cost Est]]*Table1[[#This Row],[P3%]]</f>
        <v>0</v>
      </c>
      <c r="Y23" s="113">
        <f>Table1[[#This Row],[Hi Cost Est]]*Table1[[#This Row],[P3%]]</f>
        <v>0</v>
      </c>
      <c r="Z23" s="116" t="s">
        <v>49</v>
      </c>
      <c r="AA23" s="160" t="s">
        <v>278</v>
      </c>
    </row>
    <row r="24" spans="2:27" ht="38.25" customHeight="1" x14ac:dyDescent="0.25">
      <c r="B24" s="117" t="s">
        <v>47</v>
      </c>
      <c r="C24" s="150" t="s">
        <v>48</v>
      </c>
      <c r="D24" s="157">
        <f>ROUNDUP(SUM(D3:D23)*VLOOKUP(Table1[[#This Row],[Rate]],'Configuration Table'!A:D,4,FALSE),0)</f>
        <v>2</v>
      </c>
      <c r="E24" s="149">
        <f>IFERROR(INT(ROUNDUP(Table1[[#This Row],[Lo Hrs.]]*(1+VLOOKUP(Table1[[#This Row],[Rate]],'Configuration Table'!A:C,3,FALSE)),0)),0)</f>
        <v>2</v>
      </c>
      <c r="F24" s="126">
        <f>IFERROR(Table1[[#This Row],[Lo Hrs.]]*VLOOKUP(Table1[[#This Row],[Rate]],'Configuration Table'!A:B,2,FALSE),0)</f>
        <v>300</v>
      </c>
      <c r="G24" s="126">
        <f>IFERROR(Table1[[#This Row],[Hi Hrs.]]*VLOOKUP(Table1[[#This Row],[Rate]],'Configuration Table'!A:B,2,FALSE),0)</f>
        <v>300</v>
      </c>
      <c r="H24" s="141" t="str">
        <f>IFERROR(VLOOKUP(Table1[[#This Row],[Rate]],'Configuration Table'!A:G,7,FALSE),"")</f>
        <v>Dark Yellow</v>
      </c>
      <c r="I24" s="141" t="str">
        <f>IFERROR(VLOOKUP(Table1[[#This Row],[Rate]],'Configuration Table'!A:G,5,FALSE),"")</f>
        <v>Quality Assurance</v>
      </c>
      <c r="J24" s="141" t="str">
        <f>IFERROR(VLOOKUP(Table1[[#This Row],[Rate]],'Configuration Table'!A:G,6,FALSE),"")</f>
        <v>Quality Assurance (typically 15%, 10% for FE-only projects)</v>
      </c>
      <c r="K24" s="55"/>
      <c r="L24" s="55">
        <v>1</v>
      </c>
      <c r="M24" s="55"/>
      <c r="N24" s="141">
        <f>Table1[[#This Row],[Lo Hrs.]]*Table1[[#This Row],[P1%]]</f>
        <v>0</v>
      </c>
      <c r="O24" s="141">
        <f>Table1[[#This Row],[Hi Hrs.]]*Table1[[#This Row],[P1%]]</f>
        <v>0</v>
      </c>
      <c r="P24" s="126">
        <f>Table1[[#This Row],[Lo Cost Est]]*Table1[[#This Row],[P1%]]</f>
        <v>0</v>
      </c>
      <c r="Q24" s="126">
        <f>Table1[[#This Row],[Hi Cost Est]]*Table1[[#This Row],[P1%]]</f>
        <v>0</v>
      </c>
      <c r="R24" s="141">
        <f>Table1[[#This Row],[Lo Hrs.]]*Table1[[#This Row],[P2%]]</f>
        <v>2</v>
      </c>
      <c r="S24" s="141">
        <f>Table1[[#This Row],[Hi Hrs.]]*Table1[[#This Row],[P2%]]</f>
        <v>2</v>
      </c>
      <c r="T24" s="126">
        <f>Table1[[#This Row],[Lo Cost Est]]*Table1[[#This Row],[P2%]]</f>
        <v>300</v>
      </c>
      <c r="U24" s="126">
        <f>Table1[[#This Row],[Hi Cost Est]]*Table1[[#This Row],[P2%]]</f>
        <v>300</v>
      </c>
      <c r="V24" s="141">
        <f>Table1[[#This Row],[Lo Hrs.]]*Table1[[#This Row],[P3%]]</f>
        <v>0</v>
      </c>
      <c r="W24" s="141">
        <f>Table1[[#This Row],[Hi Hrs.]]*Table1[[#This Row],[P3%]]</f>
        <v>0</v>
      </c>
      <c r="X24" s="126">
        <f>Table1[[#This Row],[Lo Cost Est]]*Table1[[#This Row],[P3%]]</f>
        <v>0</v>
      </c>
      <c r="Y24" s="126">
        <f>Table1[[#This Row],[Hi Cost Est]]*Table1[[#This Row],[P3%]]</f>
        <v>0</v>
      </c>
      <c r="Z24" s="128"/>
      <c r="AA24" s="161"/>
    </row>
    <row r="25" spans="2:27" ht="38.25" customHeight="1" x14ac:dyDescent="0.25">
      <c r="B25" s="117" t="s">
        <v>50</v>
      </c>
      <c r="C25" s="140" t="s">
        <v>51</v>
      </c>
      <c r="D25" s="153">
        <f>ROUNDUP(SUM(D3:D23)*VLOOKUP(Table1[[#This Row],[Rate]],'Configuration Table'!A:D,4,FALSE),0)</f>
        <v>1</v>
      </c>
      <c r="E25" s="144">
        <f>ROUNDUP(SUM(E3:E23)*VLOOKUP(Table1[[#This Row],[Rate]],'Configuration Table'!A:D,4,FALSE),0)</f>
        <v>1</v>
      </c>
      <c r="F25" s="3">
        <f>IFERROR(Table1[[#This Row],[Lo Hrs.]]*VLOOKUP(Table1[[#This Row],[Rate]],'Configuration Table'!A:B,2,FALSE),0)</f>
        <v>150</v>
      </c>
      <c r="G25" s="3">
        <f>IFERROR(Table1[[#This Row],[Hi Hrs.]]*VLOOKUP(Table1[[#This Row],[Rate]],'Configuration Table'!A:B,2,FALSE),0)</f>
        <v>150</v>
      </c>
      <c r="H25" s="132" t="str">
        <f>IFERROR(VLOOKUP(Table1[[#This Row],[Rate]],'Configuration Table'!A:G,7,FALSE),"")</f>
        <v>Blue</v>
      </c>
      <c r="I25" s="132" t="str">
        <f>IFERROR(VLOOKUP(Table1[[#This Row],[Rate]],'Configuration Table'!A:G,5,FALSE),"")</f>
        <v>Meetings</v>
      </c>
      <c r="J25" s="132" t="str">
        <f>IFERROR(VLOOKUP(Table1[[#This Row],[Rate]],'Configuration Table'!A:G,6,FALSE),"")</f>
        <v>5-10% based on project size, client (person, team, committee)</v>
      </c>
      <c r="K25" s="55"/>
      <c r="L25" s="55">
        <v>1</v>
      </c>
      <c r="M25" s="55"/>
      <c r="N25" s="132">
        <f>Table1[[#This Row],[Lo Hrs.]]*Table1[[#This Row],[P1%]]</f>
        <v>0</v>
      </c>
      <c r="O25" s="132">
        <f>Table1[[#This Row],[Hi Hrs.]]*Table1[[#This Row],[P1%]]</f>
        <v>0</v>
      </c>
      <c r="P25" s="3">
        <f>Table1[[#This Row],[Lo Cost Est]]*Table1[[#This Row],[P1%]]</f>
        <v>0</v>
      </c>
      <c r="Q25" s="3">
        <f>Table1[[#This Row],[Hi Cost Est]]*Table1[[#This Row],[P1%]]</f>
        <v>0</v>
      </c>
      <c r="R25" s="132">
        <f>Table1[[#This Row],[Lo Hrs.]]*Table1[[#This Row],[P2%]]</f>
        <v>1</v>
      </c>
      <c r="S25" s="132">
        <f>Table1[[#This Row],[Hi Hrs.]]*Table1[[#This Row],[P2%]]</f>
        <v>1</v>
      </c>
      <c r="T25" s="3">
        <f>Table1[[#This Row],[Lo Cost Est]]*Table1[[#This Row],[P2%]]</f>
        <v>150</v>
      </c>
      <c r="U25" s="3">
        <f>Table1[[#This Row],[Hi Cost Est]]*Table1[[#This Row],[P2%]]</f>
        <v>150</v>
      </c>
      <c r="V25" s="132">
        <f>Table1[[#This Row],[Lo Hrs.]]*Table1[[#This Row],[P3%]]</f>
        <v>0</v>
      </c>
      <c r="W25" s="132">
        <f>Table1[[#This Row],[Hi Hrs.]]*Table1[[#This Row],[P3%]]</f>
        <v>0</v>
      </c>
      <c r="X25" s="3">
        <f>Table1[[#This Row],[Lo Cost Est]]*Table1[[#This Row],[P3%]]</f>
        <v>0</v>
      </c>
      <c r="Y25" s="3">
        <f>Table1[[#This Row],[Hi Cost Est]]*Table1[[#This Row],[P3%]]</f>
        <v>0</v>
      </c>
      <c r="Z25" s="118" t="s">
        <v>52</v>
      </c>
      <c r="AA25" s="161"/>
    </row>
    <row r="26" spans="2:27" ht="38.25" customHeight="1" thickBot="1" x14ac:dyDescent="0.3">
      <c r="B26" s="120" t="s">
        <v>53</v>
      </c>
      <c r="C26" s="121" t="s">
        <v>54</v>
      </c>
      <c r="D26" s="154">
        <f>ROUNDUP(SUM(D3:D25)*VLOOKUP(Table1[[#This Row],[Rate]],'Configuration Table'!A:D,4,FALSE),0)</f>
        <v>4</v>
      </c>
      <c r="E26" s="145">
        <f>ROUNDUP(SUM(E3:E25)*VLOOKUP(Table1[[#This Row],[Rate]],'Configuration Table'!A:D,4,FALSE),0)</f>
        <v>5</v>
      </c>
      <c r="F26" s="122">
        <f>IFERROR(Table1[[#This Row],[Lo Hrs.]]*VLOOKUP(Table1[[#This Row],[Rate]],'Configuration Table'!A:B,2,FALSE),0)</f>
        <v>500</v>
      </c>
      <c r="G26" s="122">
        <f>IFERROR(Table1[[#This Row],[Hi Hrs.]]*VLOOKUP(Table1[[#This Row],[Rate]],'Configuration Table'!A:B,2,FALSE),0)</f>
        <v>625</v>
      </c>
      <c r="H26" s="123" t="str">
        <f>IFERROR(VLOOKUP(Table1[[#This Row],[Rate]],'Configuration Table'!A:G,7,FALSE),"")</f>
        <v>Dark Green</v>
      </c>
      <c r="I26" s="123" t="str">
        <f>IFERROR(VLOOKUP(Table1[[#This Row],[Rate]],'Configuration Table'!A:G,5,FALSE),"")</f>
        <v>Project Management</v>
      </c>
      <c r="J26" s="123" t="str">
        <f>IFERROR(VLOOKUP(Table1[[#This Row],[Rate]],'Configuration Table'!A:G,6,FALSE),"")</f>
        <v>Project Management (20% &lt; $75k, 15% &gt; $75k)</v>
      </c>
      <c r="K26" s="124"/>
      <c r="L26" s="124">
        <v>1</v>
      </c>
      <c r="M26" s="124"/>
      <c r="N26" s="123">
        <f>Table1[[#This Row],[Lo Hrs.]]*Table1[[#This Row],[P1%]]</f>
        <v>0</v>
      </c>
      <c r="O26" s="123">
        <f>Table1[[#This Row],[Hi Hrs.]]*Table1[[#This Row],[P1%]]</f>
        <v>0</v>
      </c>
      <c r="P26" s="122">
        <f>Table1[[#This Row],[Lo Cost Est]]*Table1[[#This Row],[P1%]]</f>
        <v>0</v>
      </c>
      <c r="Q26" s="122">
        <f>Table1[[#This Row],[Hi Cost Est]]*Table1[[#This Row],[P1%]]</f>
        <v>0</v>
      </c>
      <c r="R26" s="123">
        <f>Table1[[#This Row],[Lo Hrs.]]*Table1[[#This Row],[P2%]]</f>
        <v>4</v>
      </c>
      <c r="S26" s="123">
        <f>Table1[[#This Row],[Hi Hrs.]]*Table1[[#This Row],[P2%]]</f>
        <v>5</v>
      </c>
      <c r="T26" s="122">
        <f>Table1[[#This Row],[Lo Cost Est]]*Table1[[#This Row],[P2%]]</f>
        <v>500</v>
      </c>
      <c r="U26" s="122">
        <f>Table1[[#This Row],[Hi Cost Est]]*Table1[[#This Row],[P2%]]</f>
        <v>625</v>
      </c>
      <c r="V26" s="123">
        <f>Table1[[#This Row],[Lo Hrs.]]*Table1[[#This Row],[P3%]]</f>
        <v>0</v>
      </c>
      <c r="W26" s="123">
        <f>Table1[[#This Row],[Hi Hrs.]]*Table1[[#This Row],[P3%]]</f>
        <v>0</v>
      </c>
      <c r="X26" s="122">
        <f>Table1[[#This Row],[Lo Cost Est]]*Table1[[#This Row],[P3%]]</f>
        <v>0</v>
      </c>
      <c r="Y26" s="122">
        <f>Table1[[#This Row],[Hi Cost Est]]*Table1[[#This Row],[P3%]]</f>
        <v>0</v>
      </c>
      <c r="Z26" s="125" t="s">
        <v>55</v>
      </c>
      <c r="AA26" s="162"/>
    </row>
    <row r="27" spans="2:27" x14ac:dyDescent="0.25">
      <c r="B27" s="17" t="s">
        <v>56</v>
      </c>
      <c r="C27" s="59"/>
      <c r="D27" s="49">
        <f>SUM(D3:D26)</f>
        <v>20</v>
      </c>
      <c r="E27" s="49">
        <f>SUM(E3:E26)</f>
        <v>26</v>
      </c>
      <c r="F27" s="19">
        <f>SUM(F3:F26)</f>
        <v>20000</v>
      </c>
      <c r="G27" s="19">
        <f>SUM(G3:G26)</f>
        <v>20875</v>
      </c>
      <c r="H27" s="17"/>
      <c r="I27" s="17"/>
      <c r="J27" s="17"/>
      <c r="K27" s="56"/>
      <c r="L27" s="56"/>
      <c r="M27" s="56"/>
      <c r="N27" s="17"/>
      <c r="O27" s="17"/>
      <c r="P27" s="20"/>
      <c r="Q27" s="20"/>
      <c r="R27" s="17"/>
      <c r="S27" s="17"/>
      <c r="T27" s="20"/>
      <c r="U27" s="20"/>
      <c r="V27" s="17"/>
      <c r="W27" s="17"/>
      <c r="X27" s="20"/>
      <c r="Y27" s="20"/>
      <c r="Z27" s="17"/>
    </row>
    <row r="29" spans="2:27" ht="15.75" thickBot="1" x14ac:dyDescent="0.3"/>
    <row r="30" spans="2:27" ht="16.5" thickTop="1" thickBot="1" x14ac:dyDescent="0.3">
      <c r="B30" s="5" t="s">
        <v>57</v>
      </c>
      <c r="C30" s="6"/>
      <c r="D30" s="7" t="s">
        <v>58</v>
      </c>
      <c r="E30" s="8" t="s">
        <v>59</v>
      </c>
    </row>
    <row r="31" spans="2:27" ht="16.5" thickTop="1" thickBot="1" x14ac:dyDescent="0.3">
      <c r="B31" s="2" t="s">
        <v>60</v>
      </c>
      <c r="C31" s="9" t="s">
        <v>61</v>
      </c>
      <c r="D31" s="85">
        <v>125</v>
      </c>
      <c r="E31" s="86">
        <v>125</v>
      </c>
      <c r="F31" s="89"/>
      <c r="G31" s="90" t="s">
        <v>62</v>
      </c>
      <c r="H31" s="91" t="s">
        <v>63</v>
      </c>
      <c r="I31" s="92"/>
      <c r="J31" s="92"/>
      <c r="K31" s="93" t="s">
        <v>64</v>
      </c>
      <c r="L31" s="94"/>
    </row>
    <row r="32" spans="2:27" ht="15.75" thickTop="1" x14ac:dyDescent="0.25">
      <c r="B32" s="2" t="s">
        <v>65</v>
      </c>
      <c r="C32" s="9" t="s">
        <v>66</v>
      </c>
      <c r="D32" s="87">
        <v>150</v>
      </c>
      <c r="E32" s="88">
        <v>150</v>
      </c>
      <c r="G32" s="97">
        <f>ROUNDUP(Summary!F8+Summary!J8,0)</f>
        <v>20</v>
      </c>
      <c r="H32" s="97">
        <f>ROUNDUP(Summary!G12+Summary!K12,0)</f>
        <v>0</v>
      </c>
      <c r="I32" s="97">
        <f>ROUNDUP(Summary!H12+Summary!L12,0)</f>
        <v>0</v>
      </c>
      <c r="J32" s="97">
        <f>ROUNDUP(Summary!I12+Summary!M12,0)</f>
        <v>0</v>
      </c>
      <c r="K32" s="99">
        <f>ROUNDUP(Summary!H8+Summary!L8,0)</f>
        <v>20000</v>
      </c>
      <c r="L32" s="94"/>
    </row>
    <row r="33" spans="2:12" ht="15.75" thickBot="1" x14ac:dyDescent="0.3">
      <c r="B33" s="106" t="s">
        <v>67</v>
      </c>
      <c r="C33" s="9" t="s">
        <v>68</v>
      </c>
      <c r="D33" s="81">
        <v>150</v>
      </c>
      <c r="E33" s="82">
        <v>150</v>
      </c>
      <c r="G33" s="95">
        <f>ROUNDUP(Summary!G8+Summary!K8,0)</f>
        <v>20</v>
      </c>
      <c r="H33" s="95">
        <f>ROUNDUP(Summary!G13+Summary!K13,0)</f>
        <v>0</v>
      </c>
      <c r="I33" s="95">
        <f>ROUNDUP(Summary!H13+Summary!L13,0)</f>
        <v>0</v>
      </c>
      <c r="J33" s="95">
        <f>ROUNDUP(Summary!I13+Summary!M13,0)</f>
        <v>0</v>
      </c>
      <c r="K33" s="100">
        <f>ROUNDUP(Summary!I8+Summary!M8,0)</f>
        <v>20000</v>
      </c>
      <c r="L33" s="94"/>
    </row>
    <row r="34" spans="2:12" ht="16.5" thickTop="1" thickBot="1" x14ac:dyDescent="0.3">
      <c r="B34" s="2" t="s">
        <v>69</v>
      </c>
      <c r="C34" s="9" t="s">
        <v>70</v>
      </c>
      <c r="D34" s="79">
        <v>150</v>
      </c>
      <c r="E34" s="80">
        <v>150</v>
      </c>
      <c r="G34" s="96"/>
      <c r="H34" s="26"/>
      <c r="I34" s="26"/>
      <c r="J34" s="26"/>
      <c r="K34" s="94"/>
      <c r="L34" s="94"/>
    </row>
    <row r="35" spans="2:12" ht="16.5" thickTop="1" thickBot="1" x14ac:dyDescent="0.3">
      <c r="B35" s="2" t="s">
        <v>71</v>
      </c>
      <c r="C35" s="9" t="s">
        <v>72</v>
      </c>
      <c r="D35" s="10">
        <v>175</v>
      </c>
      <c r="E35" s="11">
        <v>175</v>
      </c>
      <c r="G35" s="90" t="s">
        <v>73</v>
      </c>
      <c r="H35" s="91" t="s">
        <v>63</v>
      </c>
      <c r="I35" s="92"/>
      <c r="J35" s="92"/>
      <c r="K35" s="93" t="s">
        <v>64</v>
      </c>
      <c r="L35" s="94"/>
    </row>
    <row r="36" spans="2:12" ht="15.75" thickTop="1" x14ac:dyDescent="0.25">
      <c r="B36" s="2" t="s">
        <v>53</v>
      </c>
      <c r="C36" s="9" t="s">
        <v>54</v>
      </c>
      <c r="D36" s="15">
        <v>125</v>
      </c>
      <c r="E36" s="16">
        <v>125</v>
      </c>
      <c r="G36" s="97">
        <f>ROUNDUP(Summary!N8,0)</f>
        <v>0</v>
      </c>
      <c r="H36" s="97">
        <f>ROUNDUP(Summary!G16+Summary!K16,0)</f>
        <v>0</v>
      </c>
      <c r="I36" s="97">
        <f>ROUNDUP(Summary!H16+Summary!L16,0)</f>
        <v>0</v>
      </c>
      <c r="J36" s="97">
        <f>ROUNDUP(Summary!I16+Summary!M16,0)</f>
        <v>0</v>
      </c>
      <c r="K36" s="99">
        <f>ROUNDUP(Summary!P8,0)</f>
        <v>0</v>
      </c>
    </row>
    <row r="37" spans="2:12" ht="15.75" thickBot="1" x14ac:dyDescent="0.3">
      <c r="B37" s="2" t="s">
        <v>74</v>
      </c>
      <c r="C37" s="9" t="s">
        <v>75</v>
      </c>
      <c r="D37" s="75">
        <v>20000</v>
      </c>
      <c r="E37" s="76">
        <v>20000</v>
      </c>
      <c r="G37" s="95">
        <f>ROUNDUP(Summary!O8,0)</f>
        <v>0</v>
      </c>
      <c r="H37" s="95">
        <f>ROUNDUP(Summary!G17+Summary!K17,0)</f>
        <v>0</v>
      </c>
      <c r="I37" s="95">
        <f>ROUNDUP(Summary!H17+Summary!L17,0)</f>
        <v>0</v>
      </c>
      <c r="J37" s="95">
        <f>ROUNDUP(Summary!I17+Summary!M17,0)</f>
        <v>0</v>
      </c>
      <c r="K37" s="100">
        <f>ROUNDUP(Summary!Q8,0)</f>
        <v>0</v>
      </c>
    </row>
    <row r="38" spans="2:12" ht="16.5" thickTop="1" thickBot="1" x14ac:dyDescent="0.3">
      <c r="B38" s="12" t="s">
        <v>76</v>
      </c>
      <c r="C38" s="13" t="s">
        <v>27</v>
      </c>
      <c r="D38" s="77">
        <v>17000</v>
      </c>
      <c r="E38" s="78">
        <v>17000</v>
      </c>
      <c r="H38" s="4"/>
      <c r="I38" s="4"/>
    </row>
    <row r="39" spans="2:12" ht="15.75" thickTop="1" x14ac:dyDescent="0.25">
      <c r="B39" s="60" t="s">
        <v>77</v>
      </c>
      <c r="H39" s="4"/>
      <c r="I39" s="4"/>
    </row>
    <row r="40" spans="2:12" x14ac:dyDescent="0.25">
      <c r="H40" s="4"/>
      <c r="I40" s="4"/>
    </row>
    <row r="41" spans="2:12" x14ac:dyDescent="0.25">
      <c r="H41" s="4"/>
      <c r="I41" s="4"/>
    </row>
    <row r="42" spans="2:12" x14ac:dyDescent="0.25">
      <c r="H42" s="4"/>
      <c r="I42" s="4"/>
    </row>
    <row r="43" spans="2:12" x14ac:dyDescent="0.25">
      <c r="H43" s="4"/>
      <c r="I43" s="4"/>
    </row>
    <row r="44" spans="2:12" x14ac:dyDescent="0.25">
      <c r="C44" s="4"/>
      <c r="D44" s="9"/>
      <c r="E44" s="9"/>
      <c r="F44" s="14"/>
      <c r="G44" s="14"/>
      <c r="H44" s="4"/>
      <c r="I44" s="4"/>
    </row>
  </sheetData>
  <mergeCells count="4">
    <mergeCell ref="B1:G1"/>
    <mergeCell ref="AA3:AA10"/>
    <mergeCell ref="AA11:AA22"/>
    <mergeCell ref="AA23:AA26"/>
  </mergeCells>
  <phoneticPr fontId="14" type="noConversion"/>
  <conditionalFormatting sqref="D28:E29 D45:E1048576">
    <cfRule type="expression" dxfId="222" priority="1">
      <formula>IF($H28="Dark Yellow",1,0)</formula>
    </cfRule>
    <cfRule type="expression" dxfId="221" priority="2">
      <formula>IF($H28="Dark Green",1,0)</formula>
    </cfRule>
    <cfRule type="expression" dxfId="220" priority="3">
      <formula>IF($H28="Red",1,0)</formula>
    </cfRule>
    <cfRule type="expression" dxfId="219" priority="4">
      <formula>IF($H28="Grey",1,0)</formula>
    </cfRule>
    <cfRule type="expression" dxfId="218" priority="5">
      <formula>IF($H28="Orange",1,0)</formula>
    </cfRule>
    <cfRule type="expression" dxfId="217" priority="6">
      <formula>IF($H28="Green",1,0)</formula>
    </cfRule>
    <cfRule type="expression" dxfId="216" priority="7">
      <formula>IF($H28="Yellow",1,0)</formula>
    </cfRule>
    <cfRule type="expression" dxfId="215" priority="9">
      <formula>IF($H28="Blue",1,0)</formula>
    </cfRule>
  </conditionalFormatting>
  <conditionalFormatting sqref="D27:G27 D2:E26">
    <cfRule type="expression" dxfId="214" priority="34">
      <formula>IF($H2="Dark Yellow",1,0)</formula>
    </cfRule>
    <cfRule type="expression" dxfId="213" priority="35">
      <formula>IF($H2="Dark Green",1,0)</formula>
    </cfRule>
    <cfRule type="expression" dxfId="212" priority="36">
      <formula>IF($H2="Red",1,0)</formula>
    </cfRule>
    <cfRule type="expression" dxfId="211" priority="37">
      <formula>IF($H2="Grey",1,0)</formula>
    </cfRule>
    <cfRule type="expression" dxfId="210" priority="38">
      <formula>IF($H2="Orange",1,0)</formula>
    </cfRule>
    <cfRule type="expression" dxfId="209" priority="39">
      <formula>IF($H2="Green",1,0)</formula>
    </cfRule>
    <cfRule type="expression" dxfId="208" priority="40">
      <formula>IF($H2="Yellow",1,0)</formula>
    </cfRule>
    <cfRule type="expression" dxfId="207" priority="41">
      <formula>IF($H2="Blue",1,0)</formula>
    </cfRule>
  </conditionalFormatting>
  <pageMargins left="0.7" right="0.7" top="0.75" bottom="0.75" header="0.3" footer="0.3"/>
  <pageSetup orientation="portrait" horizontalDpi="1200" verticalDpi="1200" r:id="rId1"/>
  <legacy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G14" sqref="G14"/>
    </sheetView>
  </sheetViews>
  <sheetFormatPr defaultColWidth="2.7109375" defaultRowHeight="15" x14ac:dyDescent="0.25"/>
  <cols>
    <col min="1" max="1" width="19.7109375" bestFit="1" customWidth="1"/>
    <col min="2" max="3" width="3.85546875" bestFit="1" customWidth="1"/>
    <col min="4" max="5" width="9.140625" bestFit="1" customWidth="1"/>
    <col min="6" max="6" width="5.140625" bestFit="1" customWidth="1"/>
    <col min="7" max="7" width="5" bestFit="1" customWidth="1"/>
    <col min="8" max="9" width="7.7109375" bestFit="1" customWidth="1"/>
    <col min="10" max="10" width="5.5703125" bestFit="1" customWidth="1"/>
    <col min="11" max="11" width="5.42578125" bestFit="1" customWidth="1"/>
    <col min="12" max="13" width="9.140625" bestFit="1" customWidth="1"/>
    <col min="14" max="14" width="5.5703125" bestFit="1" customWidth="1"/>
    <col min="15" max="15" width="5.42578125" bestFit="1" customWidth="1"/>
    <col min="16" max="16" width="6.140625" bestFit="1" customWidth="1"/>
    <col min="17" max="17" width="7.7109375" bestFit="1" customWidth="1"/>
  </cols>
  <sheetData>
    <row r="1" spans="1:17" s="65" customFormat="1" ht="36" customHeight="1" thickTop="1" thickBot="1" x14ac:dyDescent="0.3">
      <c r="A1" s="158" t="s">
        <v>78</v>
      </c>
      <c r="B1" s="159"/>
      <c r="C1" s="159"/>
      <c r="D1" s="159"/>
      <c r="E1" s="159"/>
      <c r="F1" s="159"/>
      <c r="G1" s="159"/>
      <c r="H1" s="159"/>
      <c r="I1" s="159"/>
      <c r="J1" s="159"/>
      <c r="K1" s="159"/>
      <c r="L1" s="159"/>
      <c r="M1" s="159"/>
      <c r="N1" s="159"/>
      <c r="O1" s="159"/>
      <c r="P1" s="159"/>
      <c r="Q1" s="163"/>
    </row>
    <row r="2" spans="1:17" s="73" customFormat="1" ht="45.75" hidden="1" thickTop="1" x14ac:dyDescent="0.25">
      <c r="A2" s="103" t="s">
        <v>79</v>
      </c>
      <c r="B2" s="104" t="s">
        <v>80</v>
      </c>
      <c r="C2" s="104" t="s">
        <v>81</v>
      </c>
      <c r="D2" s="104" t="s">
        <v>82</v>
      </c>
      <c r="E2" s="104" t="s">
        <v>59</v>
      </c>
      <c r="F2" s="104" t="s">
        <v>83</v>
      </c>
      <c r="G2" s="104" t="s">
        <v>84</v>
      </c>
      <c r="H2" s="104" t="s">
        <v>85</v>
      </c>
      <c r="I2" s="104" t="s">
        <v>86</v>
      </c>
      <c r="J2" s="104" t="s">
        <v>87</v>
      </c>
      <c r="K2" s="104" t="s">
        <v>88</v>
      </c>
      <c r="L2" s="104" t="s">
        <v>89</v>
      </c>
      <c r="M2" s="104" t="s">
        <v>90</v>
      </c>
      <c r="N2" s="104" t="s">
        <v>91</v>
      </c>
      <c r="O2" s="104" t="s">
        <v>92</v>
      </c>
      <c r="P2" s="104" t="s">
        <v>93</v>
      </c>
      <c r="Q2" s="105" t="s">
        <v>94</v>
      </c>
    </row>
    <row r="3" spans="1:17" ht="15.75" thickTop="1" x14ac:dyDescent="0.25">
      <c r="A3" s="137" t="s">
        <v>245</v>
      </c>
      <c r="B3" s="133">
        <v>13</v>
      </c>
      <c r="C3" s="133">
        <v>13</v>
      </c>
      <c r="D3" s="134">
        <v>1950</v>
      </c>
      <c r="E3" s="136">
        <v>1950</v>
      </c>
      <c r="F3" s="133">
        <v>0</v>
      </c>
      <c r="G3" s="133">
        <v>0</v>
      </c>
      <c r="H3" s="134">
        <v>0</v>
      </c>
      <c r="I3" s="136">
        <v>0</v>
      </c>
      <c r="J3" s="133">
        <v>13</v>
      </c>
      <c r="K3" s="133">
        <v>13</v>
      </c>
      <c r="L3" s="134">
        <v>1950</v>
      </c>
      <c r="M3" s="136">
        <v>1950</v>
      </c>
      <c r="N3" s="133">
        <v>0</v>
      </c>
      <c r="O3" s="133">
        <v>0</v>
      </c>
      <c r="P3" s="134">
        <v>0</v>
      </c>
      <c r="Q3" s="135">
        <v>0</v>
      </c>
    </row>
    <row r="4" spans="1:17" x14ac:dyDescent="0.25">
      <c r="A4" s="137" t="s">
        <v>96</v>
      </c>
      <c r="B4" s="133"/>
      <c r="C4" s="133">
        <v>0</v>
      </c>
      <c r="D4" s="134">
        <v>17100</v>
      </c>
      <c r="E4" s="136">
        <v>17100</v>
      </c>
      <c r="F4" s="133">
        <v>0</v>
      </c>
      <c r="G4" s="133">
        <v>0</v>
      </c>
      <c r="H4" s="134">
        <v>0</v>
      </c>
      <c r="I4" s="136">
        <v>0</v>
      </c>
      <c r="J4" s="133">
        <v>0</v>
      </c>
      <c r="K4" s="133">
        <v>0</v>
      </c>
      <c r="L4" s="134">
        <v>17100</v>
      </c>
      <c r="M4" s="136">
        <v>17100</v>
      </c>
      <c r="N4" s="133">
        <v>0</v>
      </c>
      <c r="O4" s="133">
        <v>0</v>
      </c>
      <c r="P4" s="134">
        <v>0</v>
      </c>
      <c r="Q4" s="135">
        <v>0</v>
      </c>
    </row>
    <row r="5" spans="1:17" x14ac:dyDescent="0.25">
      <c r="A5" s="137" t="s">
        <v>50</v>
      </c>
      <c r="B5" s="133">
        <v>1</v>
      </c>
      <c r="C5" s="133">
        <v>1</v>
      </c>
      <c r="D5" s="134">
        <v>150</v>
      </c>
      <c r="E5" s="136">
        <v>150</v>
      </c>
      <c r="F5" s="138">
        <v>0</v>
      </c>
      <c r="G5" s="138">
        <v>0</v>
      </c>
      <c r="H5" s="134">
        <v>0</v>
      </c>
      <c r="I5" s="136">
        <v>0</v>
      </c>
      <c r="J5" s="138">
        <v>1</v>
      </c>
      <c r="K5" s="138">
        <v>1</v>
      </c>
      <c r="L5" s="134">
        <v>150</v>
      </c>
      <c r="M5" s="136">
        <v>150</v>
      </c>
      <c r="N5" s="133">
        <v>0</v>
      </c>
      <c r="O5" s="133">
        <v>0</v>
      </c>
      <c r="P5" s="134">
        <v>0</v>
      </c>
      <c r="Q5" s="135">
        <v>0</v>
      </c>
    </row>
    <row r="6" spans="1:17" x14ac:dyDescent="0.25">
      <c r="A6" s="137" t="s">
        <v>53</v>
      </c>
      <c r="B6" s="133">
        <v>4</v>
      </c>
      <c r="C6" s="133">
        <v>4</v>
      </c>
      <c r="D6" s="134">
        <v>500</v>
      </c>
      <c r="E6" s="136">
        <v>500</v>
      </c>
      <c r="F6" s="138">
        <v>0</v>
      </c>
      <c r="G6" s="138">
        <v>0</v>
      </c>
      <c r="H6" s="134">
        <v>0</v>
      </c>
      <c r="I6" s="136">
        <v>0</v>
      </c>
      <c r="J6" s="138">
        <v>4</v>
      </c>
      <c r="K6" s="138">
        <v>4</v>
      </c>
      <c r="L6" s="134">
        <v>500</v>
      </c>
      <c r="M6" s="136">
        <v>500</v>
      </c>
      <c r="N6" s="133">
        <v>0</v>
      </c>
      <c r="O6" s="133">
        <v>0</v>
      </c>
      <c r="P6" s="134">
        <v>0</v>
      </c>
      <c r="Q6" s="135">
        <v>0</v>
      </c>
    </row>
    <row r="7" spans="1:17" x14ac:dyDescent="0.25">
      <c r="A7" s="137" t="s">
        <v>97</v>
      </c>
      <c r="B7" s="133">
        <v>2</v>
      </c>
      <c r="C7" s="133">
        <v>2</v>
      </c>
      <c r="D7" s="134">
        <v>300</v>
      </c>
      <c r="E7" s="136">
        <v>300</v>
      </c>
      <c r="F7" s="133">
        <v>0</v>
      </c>
      <c r="G7" s="133">
        <v>0</v>
      </c>
      <c r="H7" s="134">
        <v>0</v>
      </c>
      <c r="I7" s="136">
        <v>0</v>
      </c>
      <c r="J7" s="133">
        <v>2</v>
      </c>
      <c r="K7" s="133">
        <v>2</v>
      </c>
      <c r="L7" s="134">
        <v>300</v>
      </c>
      <c r="M7" s="136">
        <v>300</v>
      </c>
      <c r="N7" s="133">
        <v>0</v>
      </c>
      <c r="O7" s="133">
        <v>0</v>
      </c>
      <c r="P7" s="134">
        <v>0</v>
      </c>
      <c r="Q7" s="135">
        <v>0</v>
      </c>
    </row>
    <row r="8" spans="1:17" ht="15.75" thickBot="1" x14ac:dyDescent="0.3">
      <c r="A8" s="61" t="s">
        <v>98</v>
      </c>
      <c r="B8" s="62">
        <v>20</v>
      </c>
      <c r="C8" s="62">
        <v>20</v>
      </c>
      <c r="D8" s="72">
        <v>20000</v>
      </c>
      <c r="E8" s="72">
        <v>20000</v>
      </c>
      <c r="F8" s="62">
        <v>0</v>
      </c>
      <c r="G8" s="62">
        <v>0</v>
      </c>
      <c r="H8" s="72">
        <v>0</v>
      </c>
      <c r="I8" s="72">
        <v>0</v>
      </c>
      <c r="J8" s="62">
        <v>20</v>
      </c>
      <c r="K8" s="62">
        <v>20</v>
      </c>
      <c r="L8" s="72">
        <v>20000</v>
      </c>
      <c r="M8" s="72">
        <v>20000</v>
      </c>
      <c r="N8" s="62">
        <v>0</v>
      </c>
      <c r="O8" s="62">
        <v>0</v>
      </c>
      <c r="P8" s="98">
        <v>0</v>
      </c>
      <c r="Q8" s="101">
        <v>0</v>
      </c>
    </row>
    <row r="9" spans="1:17" ht="15.75" thickTop="1" x14ac:dyDescent="0.25"/>
    <row r="10" spans="1:17" ht="15.75" thickTop="1" x14ac:dyDescent="0.25"/>
    <row r="11" spans="1:17" s="66" customFormat="1" ht="15.75" thickTop="1" x14ac:dyDescent="0.25">
      <c r="A11"/>
      <c r="B11"/>
      <c r="C11"/>
      <c r="D11"/>
      <c r="E11"/>
      <c r="F11"/>
      <c r="G11"/>
      <c r="H11"/>
      <c r="I11"/>
      <c r="J11"/>
      <c r="K11"/>
      <c r="L11"/>
      <c r="M11"/>
      <c r="N11"/>
      <c r="O11"/>
      <c r="P11"/>
      <c r="Q11"/>
    </row>
    <row r="13" spans="1:17" ht="15.75" thickBot="1" x14ac:dyDescent="0.3"/>
    <row r="14" spans="1:17" ht="15.75" thickTop="1" x14ac:dyDescent="0.25">
      <c r="A14" s="21"/>
      <c r="B14" s="21"/>
      <c r="C14" s="21"/>
      <c r="D14" s="21"/>
      <c r="E14" s="21"/>
      <c r="F14" s="21"/>
      <c r="G14" s="21"/>
      <c r="H14" s="21"/>
      <c r="I14" s="21"/>
      <c r="J14" s="21"/>
      <c r="K14" s="21"/>
    </row>
    <row r="15" spans="1:17" x14ac:dyDescent="0.25">
      <c r="A15" s="21"/>
      <c r="B15" s="21"/>
      <c r="C15" s="21"/>
      <c r="D15" s="21"/>
      <c r="E15" s="21"/>
      <c r="F15" s="21"/>
      <c r="G15" s="21"/>
      <c r="H15" s="21"/>
      <c r="I15" s="21"/>
      <c r="J15" s="21"/>
      <c r="K15" s="21"/>
    </row>
    <row r="16" spans="1:17" x14ac:dyDescent="0.25">
      <c r="D16" s="64"/>
      <c r="E16" s="64"/>
      <c r="F16" s="64"/>
      <c r="G16" s="64"/>
      <c r="H16" s="64"/>
      <c r="I16" s="64"/>
      <c r="J16" s="64"/>
      <c r="K16" s="64"/>
    </row>
    <row r="17" spans="1:11" x14ac:dyDescent="0.25">
      <c r="D17" s="64"/>
      <c r="E17" s="64"/>
      <c r="F17" s="64"/>
      <c r="G17" s="64"/>
      <c r="H17" s="64"/>
      <c r="I17" s="64"/>
      <c r="J17" s="64"/>
      <c r="K17" s="64"/>
    </row>
    <row r="18" spans="1:11" x14ac:dyDescent="0.25">
      <c r="D18" s="64"/>
      <c r="E18" s="64"/>
      <c r="F18" s="64"/>
      <c r="G18" s="64"/>
      <c r="H18" s="64"/>
      <c r="I18" s="64"/>
      <c r="J18" s="64"/>
      <c r="K18" s="64"/>
    </row>
    <row r="19" spans="1:11" x14ac:dyDescent="0.25">
      <c r="D19" s="64"/>
      <c r="E19" s="64"/>
      <c r="F19" s="64"/>
      <c r="G19" s="64"/>
      <c r="H19" s="64"/>
      <c r="I19" s="64"/>
      <c r="J19" s="64"/>
      <c r="K19" s="64"/>
    </row>
    <row r="20" spans="1:11" x14ac:dyDescent="0.25">
      <c r="D20" s="64"/>
      <c r="E20" s="64"/>
      <c r="F20" s="64"/>
      <c r="G20" s="64"/>
      <c r="H20" s="64"/>
      <c r="I20" s="64"/>
      <c r="J20" s="64"/>
      <c r="K20" s="64"/>
    </row>
    <row r="21" spans="1:11" x14ac:dyDescent="0.25">
      <c r="D21" s="64"/>
      <c r="E21" s="64"/>
      <c r="F21" s="64"/>
      <c r="G21" s="64"/>
      <c r="H21" s="64"/>
      <c r="I21" s="64"/>
      <c r="J21" s="64"/>
      <c r="K21" s="64"/>
    </row>
    <row r="22" spans="1:11" x14ac:dyDescent="0.25">
      <c r="D22" s="64"/>
      <c r="E22" s="64"/>
      <c r="F22" s="64"/>
      <c r="G22" s="64"/>
      <c r="H22" s="64"/>
      <c r="I22" s="64"/>
      <c r="J22" s="64"/>
      <c r="K22" s="64"/>
    </row>
    <row r="23" spans="1:11" x14ac:dyDescent="0.25">
      <c r="D23" s="64"/>
      <c r="E23" s="64"/>
      <c r="F23" s="64"/>
      <c r="G23" s="64"/>
      <c r="H23" s="64"/>
      <c r="I23" s="64"/>
      <c r="J23" s="64"/>
      <c r="K23" s="64"/>
    </row>
    <row r="24" spans="1:11" x14ac:dyDescent="0.25">
      <c r="D24" s="64"/>
      <c r="E24" s="64"/>
      <c r="F24" s="64"/>
      <c r="G24" s="64"/>
      <c r="H24" s="64"/>
      <c r="I24" s="64"/>
      <c r="J24" s="64"/>
      <c r="K24" s="64"/>
    </row>
    <row r="25" spans="1:11" x14ac:dyDescent="0.25">
      <c r="D25" s="64"/>
      <c r="E25" s="64"/>
      <c r="F25" s="64"/>
      <c r="G25" s="64"/>
      <c r="H25" s="64"/>
      <c r="I25" s="64"/>
      <c r="J25" s="64"/>
      <c r="K25" s="64"/>
    </row>
    <row r="26" spans="1:11" x14ac:dyDescent="0.25">
      <c r="D26" s="64"/>
      <c r="E26" s="64"/>
      <c r="F26" s="64"/>
      <c r="G26" s="64"/>
      <c r="H26" s="64"/>
      <c r="I26" s="64"/>
      <c r="J26" s="64"/>
      <c r="K26" s="64"/>
    </row>
    <row r="27" spans="1:11" x14ac:dyDescent="0.25">
      <c r="D27" s="64"/>
      <c r="E27" s="64"/>
      <c r="F27" s="64"/>
      <c r="G27" s="64"/>
      <c r="H27" s="64"/>
      <c r="I27" s="64"/>
      <c r="J27" s="64"/>
      <c r="K27" s="64"/>
    </row>
    <row r="28" spans="1:11" x14ac:dyDescent="0.25">
      <c r="D28" s="64"/>
      <c r="E28" s="64"/>
      <c r="F28" s="64"/>
      <c r="G28" s="64"/>
      <c r="H28" s="64"/>
      <c r="I28" s="64"/>
      <c r="J28" s="64"/>
      <c r="K28" s="64"/>
    </row>
    <row r="29" spans="1:11" x14ac:dyDescent="0.25">
      <c r="A29" s="63"/>
      <c r="D29" s="64"/>
      <c r="E29" s="64"/>
      <c r="F29" s="64"/>
      <c r="G29" s="64"/>
      <c r="H29" s="64"/>
      <c r="I29" s="64"/>
      <c r="J29" s="64"/>
      <c r="K29" s="64"/>
    </row>
    <row r="30" spans="1:11" x14ac:dyDescent="0.25">
      <c r="D30" s="64"/>
      <c r="E30" s="64"/>
      <c r="F30" s="64"/>
      <c r="G30" s="64"/>
      <c r="H30" s="64"/>
      <c r="I30" s="64"/>
      <c r="J30" s="64"/>
      <c r="K30" s="64"/>
    </row>
    <row r="31" spans="1:11" x14ac:dyDescent="0.25">
      <c r="D31" s="64"/>
      <c r="E31" s="64"/>
      <c r="F31" s="64"/>
      <c r="G31" s="64"/>
      <c r="H31" s="64"/>
      <c r="I31" s="64"/>
      <c r="J31" s="64"/>
      <c r="K31" s="64"/>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D8" sqref="D8"/>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64" t="str">
        <f>CONCATENATE("Based on the current cost estimate for your project we are currently recommending ",U4, " weeks of UAT testing by your team.")</f>
        <v>Based on the current cost estimate for your project we are currently recommending 1 weeks of UAT testing by your team.</v>
      </c>
      <c r="B1" s="164"/>
      <c r="C1" s="164"/>
      <c r="D1" s="164"/>
      <c r="E1" s="164"/>
      <c r="F1" s="164"/>
      <c r="U1">
        <f>GETPIVOTDATA("Cost",$B$5)/50000</f>
        <v>0.4</v>
      </c>
    </row>
    <row r="2" spans="1:21" x14ac:dyDescent="0.25">
      <c r="A2" s="164"/>
      <c r="B2" s="164"/>
      <c r="C2" s="164"/>
      <c r="D2" s="164"/>
      <c r="E2" s="164"/>
      <c r="F2" s="164"/>
      <c r="U2">
        <f>IF(U1&gt;4,4,U1)</f>
        <v>0.4</v>
      </c>
    </row>
    <row r="3" spans="1:21" x14ac:dyDescent="0.25">
      <c r="A3" s="164"/>
      <c r="B3" s="164"/>
      <c r="C3" s="164"/>
      <c r="D3" s="164"/>
      <c r="E3" s="164"/>
      <c r="F3" s="164"/>
      <c r="U3">
        <f>IF(U2&lt;1,1,U2)</f>
        <v>1</v>
      </c>
    </row>
    <row r="4" spans="1:21" ht="36" customHeight="1" thickBot="1" x14ac:dyDescent="0.3">
      <c r="C4" s="165" t="s">
        <v>99</v>
      </c>
      <c r="D4" s="165"/>
      <c r="E4" s="68"/>
      <c r="G4" s="166"/>
      <c r="H4" s="166"/>
      <c r="U4">
        <f>ROUNDUP(U3,1)</f>
        <v>1</v>
      </c>
    </row>
    <row r="5" spans="1:21" ht="15.75" hidden="1" thickTop="1" x14ac:dyDescent="0.25">
      <c r="B5" s="37" t="s">
        <v>100</v>
      </c>
      <c r="C5" s="69"/>
      <c r="D5" s="69"/>
    </row>
    <row r="6" spans="1:21" ht="15.75" thickTop="1" x14ac:dyDescent="0.25">
      <c r="B6" s="67" t="s">
        <v>101</v>
      </c>
      <c r="C6" s="107" t="s">
        <v>102</v>
      </c>
      <c r="D6" s="83" t="s">
        <v>103</v>
      </c>
      <c r="G6" s="21"/>
      <c r="H6" s="21"/>
    </row>
    <row r="7" spans="1:21" x14ac:dyDescent="0.25">
      <c r="B7" s="2">
        <v>6</v>
      </c>
      <c r="C7" s="132" t="s">
        <v>113</v>
      </c>
      <c r="D7" s="70">
        <v>10000</v>
      </c>
      <c r="H7" s="110"/>
      <c r="I7">
        <v>1</v>
      </c>
    </row>
    <row r="8" spans="1:21" x14ac:dyDescent="0.25">
      <c r="B8" s="2">
        <v>7</v>
      </c>
      <c r="C8" s="132" t="s">
        <v>114</v>
      </c>
      <c r="D8" s="70">
        <v>10000</v>
      </c>
      <c r="H8" s="110"/>
      <c r="I8">
        <v>1.8779999999999999</v>
      </c>
    </row>
    <row r="9" spans="1:21" ht="15.75" thickBot="1" x14ac:dyDescent="0.3">
      <c r="B9" s="71" t="s">
        <v>98</v>
      </c>
      <c r="C9" s="108"/>
      <c r="D9" s="109">
        <v>20000</v>
      </c>
      <c r="H9" s="110"/>
      <c r="I9">
        <v>2.6549999999999998</v>
      </c>
    </row>
    <row r="10" spans="1:21" ht="15.75" thickTop="1" x14ac:dyDescent="0.25"/>
    <row r="12" spans="1:21" ht="15.75" thickBot="1" x14ac:dyDescent="0.3"/>
    <row r="13" spans="1:21" ht="15.75" thickTop="1" x14ac:dyDescent="0.25"/>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106</v>
      </c>
      <c r="B1" t="s">
        <v>107</v>
      </c>
    </row>
    <row r="2" spans="1:2" x14ac:dyDescent="0.25">
      <c r="A2">
        <v>1</v>
      </c>
      <c r="B2" t="s">
        <v>108</v>
      </c>
    </row>
    <row r="3" spans="1:2" x14ac:dyDescent="0.25">
      <c r="A3">
        <v>2</v>
      </c>
      <c r="B3" t="s">
        <v>109</v>
      </c>
    </row>
    <row r="4" spans="1:2" x14ac:dyDescent="0.25">
      <c r="A4">
        <v>3</v>
      </c>
      <c r="B4" t="s">
        <v>110</v>
      </c>
    </row>
    <row r="5" spans="1:2" x14ac:dyDescent="0.25">
      <c r="A5">
        <v>4</v>
      </c>
      <c r="B5" t="s">
        <v>111</v>
      </c>
    </row>
    <row r="6" spans="1:2" x14ac:dyDescent="0.25">
      <c r="A6">
        <v>5</v>
      </c>
      <c r="B6" t="s">
        <v>112</v>
      </c>
    </row>
    <row r="7" spans="1:2" x14ac:dyDescent="0.25">
      <c r="A7">
        <v>6</v>
      </c>
      <c r="B7" t="s">
        <v>113</v>
      </c>
    </row>
    <row r="8" spans="1:2" x14ac:dyDescent="0.25">
      <c r="A8">
        <v>7</v>
      </c>
      <c r="B8" t="s">
        <v>114</v>
      </c>
    </row>
    <row r="9" spans="1:2" x14ac:dyDescent="0.25">
      <c r="A9">
        <v>8</v>
      </c>
      <c r="B9" t="s">
        <v>115</v>
      </c>
    </row>
    <row r="10" spans="1:2" x14ac:dyDescent="0.25">
      <c r="A10">
        <v>9</v>
      </c>
      <c r="B10" t="s">
        <v>104</v>
      </c>
    </row>
    <row r="11" spans="1:2" x14ac:dyDescent="0.25">
      <c r="A11">
        <v>10</v>
      </c>
      <c r="B11" t="s">
        <v>105</v>
      </c>
    </row>
    <row r="12" spans="1:2" x14ac:dyDescent="0.25">
      <c r="A12">
        <v>11</v>
      </c>
      <c r="B12" t="s">
        <v>116</v>
      </c>
    </row>
    <row r="13" spans="1:2" x14ac:dyDescent="0.25">
      <c r="A13">
        <v>12</v>
      </c>
      <c r="B13" t="s">
        <v>117</v>
      </c>
    </row>
    <row r="14" spans="1:2" x14ac:dyDescent="0.25">
      <c r="A14">
        <v>13</v>
      </c>
      <c r="B14" t="s">
        <v>108</v>
      </c>
    </row>
    <row r="15" spans="1:2" x14ac:dyDescent="0.25">
      <c r="A15">
        <v>14</v>
      </c>
      <c r="B15" t="s">
        <v>109</v>
      </c>
    </row>
    <row r="16" spans="1:2" x14ac:dyDescent="0.25">
      <c r="A16">
        <v>15</v>
      </c>
      <c r="B16" t="s">
        <v>110</v>
      </c>
    </row>
    <row r="17" spans="1:2" x14ac:dyDescent="0.25">
      <c r="A17">
        <v>16</v>
      </c>
      <c r="B17" t="s">
        <v>111</v>
      </c>
    </row>
    <row r="18" spans="1:2" x14ac:dyDescent="0.25">
      <c r="A18">
        <v>17</v>
      </c>
      <c r="B18" t="s">
        <v>112</v>
      </c>
    </row>
    <row r="19" spans="1:2" x14ac:dyDescent="0.25">
      <c r="A19">
        <v>18</v>
      </c>
      <c r="B19" t="s">
        <v>113</v>
      </c>
    </row>
    <row r="20" spans="1:2" x14ac:dyDescent="0.25">
      <c r="A20">
        <v>19</v>
      </c>
      <c r="B20" t="s">
        <v>114</v>
      </c>
    </row>
    <row r="21" spans="1:2" x14ac:dyDescent="0.25">
      <c r="A21">
        <v>20</v>
      </c>
      <c r="B21" t="s">
        <v>115</v>
      </c>
    </row>
    <row r="22" spans="1:2" x14ac:dyDescent="0.25">
      <c r="A22">
        <v>21</v>
      </c>
      <c r="B22" t="s">
        <v>104</v>
      </c>
    </row>
    <row r="23" spans="1:2" x14ac:dyDescent="0.25">
      <c r="A23">
        <v>22</v>
      </c>
      <c r="B23" t="s">
        <v>105</v>
      </c>
    </row>
    <row r="24" spans="1:2" x14ac:dyDescent="0.25">
      <c r="A24">
        <v>23</v>
      </c>
      <c r="B24" t="s">
        <v>116</v>
      </c>
    </row>
    <row r="25" spans="1:2" x14ac:dyDescent="0.25">
      <c r="A25">
        <v>24</v>
      </c>
      <c r="B25" t="s">
        <v>117</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50" zoomScaleNormal="150" zoomScalePageLayoutView="150" workbookViewId="0">
      <selection activeCell="D22" sqref="D22"/>
    </sheetView>
  </sheetViews>
  <sheetFormatPr defaultColWidth="8.85546875" defaultRowHeight="15" x14ac:dyDescent="0.25"/>
  <cols>
    <col min="2" max="2" width="14.28515625" bestFit="1" customWidth="1"/>
    <col min="3" max="3" width="11" bestFit="1" customWidth="1"/>
    <col min="4" max="4" width="14.140625" bestFit="1" customWidth="1"/>
    <col min="5" max="5" width="12.140625" bestFit="1" customWidth="1"/>
    <col min="10" max="10" width="14" bestFit="1" customWidth="1"/>
    <col min="11" max="13" width="9.85546875" hidden="1" customWidth="1"/>
    <col min="14" max="14" width="9" style="1" bestFit="1" customWidth="1"/>
    <col min="15" max="15" width="10.5703125" style="1" bestFit="1" customWidth="1"/>
    <col min="16" max="16" width="9" style="1" bestFit="1" customWidth="1"/>
    <col min="17" max="17" width="10.5703125" style="1" bestFit="1" customWidth="1"/>
  </cols>
  <sheetData>
    <row r="1" spans="1:17" x14ac:dyDescent="0.25">
      <c r="B1" s="17" t="s">
        <v>118</v>
      </c>
      <c r="C1" s="17" t="s">
        <v>277</v>
      </c>
      <c r="D1" s="21" t="s">
        <v>119</v>
      </c>
      <c r="E1" s="21" t="s">
        <v>120</v>
      </c>
      <c r="K1">
        <f>C3+1</f>
        <v>5</v>
      </c>
      <c r="L1">
        <f>C4+1</f>
        <v>9</v>
      </c>
      <c r="M1">
        <f>C5+1</f>
        <v>1</v>
      </c>
    </row>
    <row r="2" spans="1:17" x14ac:dyDescent="0.25">
      <c r="B2" s="17"/>
      <c r="C2" s="17" t="s">
        <v>121</v>
      </c>
      <c r="D2" s="17" t="s">
        <v>122</v>
      </c>
      <c r="E2" s="17" t="s">
        <v>123</v>
      </c>
      <c r="H2" s="17" t="s">
        <v>124</v>
      </c>
      <c r="I2" s="17" t="s">
        <v>101</v>
      </c>
      <c r="J2" s="17" t="s">
        <v>102</v>
      </c>
      <c r="K2" s="17" t="s">
        <v>125</v>
      </c>
      <c r="L2" s="17" t="s">
        <v>126</v>
      </c>
      <c r="M2" s="17" t="s">
        <v>127</v>
      </c>
      <c r="N2" s="131" t="s">
        <v>128</v>
      </c>
      <c r="O2" s="131" t="s">
        <v>129</v>
      </c>
      <c r="P2" s="131" t="s">
        <v>130</v>
      </c>
      <c r="Q2" s="131" t="s">
        <v>122</v>
      </c>
    </row>
    <row r="3" spans="1:17" x14ac:dyDescent="0.25">
      <c r="B3" s="26" t="s">
        <v>131</v>
      </c>
      <c r="C3" s="26">
        <v>4</v>
      </c>
      <c r="D3" s="96">
        <f>GETPIVOTDATA("Phase 1 Hi",Summary!$A$2)</f>
        <v>0</v>
      </c>
      <c r="E3" s="96">
        <f>IFERROR(ROUNDUP(D3/C3,0),0)</f>
        <v>0</v>
      </c>
      <c r="H3" t="s">
        <v>132</v>
      </c>
      <c r="I3">
        <f>INT($C$1)</f>
        <v>5</v>
      </c>
      <c r="J3" t="str">
        <f>VLOOKUP(Table2[[#This Row],[Month]],MonthLookup!A:B,2,FALSE)</f>
        <v>May</v>
      </c>
      <c r="K3">
        <f>IF(NOT(K1=0),K1-1,0)</f>
        <v>4</v>
      </c>
      <c r="L3">
        <f>IF(K3=0,L1-1,$L$1)</f>
        <v>9</v>
      </c>
      <c r="M3">
        <f>IF(L3&lt;=0,M1-1,$M$1)</f>
        <v>1</v>
      </c>
      <c r="N3" s="1">
        <f>IF(K3&gt;0,$E$3,0)</f>
        <v>0</v>
      </c>
      <c r="Q3" s="1">
        <f>SUM(N3:P3)</f>
        <v>0</v>
      </c>
    </row>
    <row r="4" spans="1:17" x14ac:dyDescent="0.25">
      <c r="B4" s="26" t="s">
        <v>133</v>
      </c>
      <c r="C4" s="26">
        <v>8</v>
      </c>
      <c r="D4" s="96">
        <f>GETPIVOTDATA("Phase 2 Hi",Summary!$A$2)</f>
        <v>20000</v>
      </c>
      <c r="E4" s="96">
        <f>IFERROR(ROUNDUP(D4/C4,0),0)</f>
        <v>2500</v>
      </c>
      <c r="H4" t="s">
        <v>134</v>
      </c>
      <c r="I4">
        <f t="shared" ref="I4:I6" si="0">INT($C$1)</f>
        <v>5</v>
      </c>
      <c r="J4" t="str">
        <f>VLOOKUP(Table2[[#This Row],[Month]],MonthLookup!A:B,2,FALSE)</f>
        <v>May</v>
      </c>
      <c r="K4">
        <f t="shared" ref="K4:K67" si="1">IF(NOT(K3=0),K3-1,0)</f>
        <v>3</v>
      </c>
      <c r="L4">
        <f t="shared" ref="L4:L35" si="2">IF(K4=0,L3-1,$L$1)</f>
        <v>9</v>
      </c>
      <c r="M4">
        <f t="shared" ref="M4:M35" si="3">IF(L4&lt;=0,M3-1,$M$1)</f>
        <v>1</v>
      </c>
      <c r="N4" s="1">
        <f t="shared" ref="N4:N67" si="4">IF(K4&gt;0,$E$3,0)</f>
        <v>0</v>
      </c>
      <c r="O4" s="1">
        <f t="shared" ref="O4" si="5">IF(AND(L4&gt;0,NOT(L4=L3)),$E$4,0)</f>
        <v>0</v>
      </c>
      <c r="P4" s="1">
        <f t="shared" ref="P4" si="6">IF(AND(M4&gt;0,NOT(M4=M3)),$E$5,0)</f>
        <v>0</v>
      </c>
      <c r="Q4" s="1">
        <f t="shared" ref="Q4:Q67" si="7">SUM(N4:P4)</f>
        <v>0</v>
      </c>
    </row>
    <row r="5" spans="1:17" x14ac:dyDescent="0.25">
      <c r="B5" s="26" t="s">
        <v>135</v>
      </c>
      <c r="C5" s="26"/>
      <c r="D5" s="96">
        <f>GETPIVOTDATA("Phase 3 Hi",Summary!$A$2)</f>
        <v>0</v>
      </c>
      <c r="E5" s="96">
        <f>IFERROR(ROUNDUP(D5/C5,0),0)</f>
        <v>0</v>
      </c>
      <c r="H5" t="s">
        <v>136</v>
      </c>
      <c r="I5">
        <f t="shared" si="0"/>
        <v>5</v>
      </c>
      <c r="J5" t="str">
        <f>VLOOKUP(Table2[[#This Row],[Month]],MonthLookup!A:B,2,FALSE)</f>
        <v>May</v>
      </c>
      <c r="K5">
        <f t="shared" si="1"/>
        <v>2</v>
      </c>
      <c r="L5">
        <f t="shared" si="2"/>
        <v>9</v>
      </c>
      <c r="M5">
        <f t="shared" si="3"/>
        <v>1</v>
      </c>
      <c r="N5" s="1">
        <f t="shared" si="4"/>
        <v>0</v>
      </c>
      <c r="O5" s="1">
        <f t="shared" ref="O5:O67" si="8">IF(AND(L5&gt;0,NOT(L5=L4)),$E$4,0)</f>
        <v>0</v>
      </c>
      <c r="P5" s="1">
        <f t="shared" ref="P5:P67" si="9">IF(AND(M5&gt;0,NOT(M5=M4)),$E$5,0)</f>
        <v>0</v>
      </c>
      <c r="Q5" s="1">
        <f t="shared" si="7"/>
        <v>0</v>
      </c>
    </row>
    <row r="6" spans="1:17" x14ac:dyDescent="0.25">
      <c r="H6" t="s">
        <v>137</v>
      </c>
      <c r="I6">
        <f t="shared" si="0"/>
        <v>5</v>
      </c>
      <c r="J6" t="str">
        <f>VLOOKUP(Table2[[#This Row],[Month]],MonthLookup!A:B,2,FALSE)</f>
        <v>May</v>
      </c>
      <c r="K6">
        <f t="shared" si="1"/>
        <v>1</v>
      </c>
      <c r="L6">
        <f t="shared" si="2"/>
        <v>9</v>
      </c>
      <c r="M6">
        <f t="shared" si="3"/>
        <v>1</v>
      </c>
      <c r="N6" s="1">
        <f t="shared" si="4"/>
        <v>0</v>
      </c>
      <c r="O6" s="1">
        <f t="shared" si="8"/>
        <v>0</v>
      </c>
      <c r="P6" s="1">
        <f t="shared" si="9"/>
        <v>0</v>
      </c>
      <c r="Q6" s="1">
        <f t="shared" si="7"/>
        <v>0</v>
      </c>
    </row>
    <row r="7" spans="1:17" x14ac:dyDescent="0.25">
      <c r="H7" t="s">
        <v>138</v>
      </c>
      <c r="I7">
        <f>I3+1</f>
        <v>6</v>
      </c>
      <c r="J7" t="str">
        <f>VLOOKUP(Table2[[#This Row],[Month]],MonthLookup!A:B,2,FALSE)</f>
        <v>June</v>
      </c>
      <c r="K7">
        <f t="shared" si="1"/>
        <v>0</v>
      </c>
      <c r="L7">
        <f t="shared" si="2"/>
        <v>8</v>
      </c>
      <c r="M7">
        <f t="shared" si="3"/>
        <v>1</v>
      </c>
      <c r="N7" s="1">
        <f t="shared" si="4"/>
        <v>0</v>
      </c>
      <c r="O7" s="1">
        <f t="shared" si="8"/>
        <v>2500</v>
      </c>
      <c r="P7" s="1">
        <f t="shared" si="9"/>
        <v>0</v>
      </c>
      <c r="Q7" s="1">
        <f t="shared" si="7"/>
        <v>2500</v>
      </c>
    </row>
    <row r="8" spans="1:17" x14ac:dyDescent="0.25">
      <c r="H8" t="s">
        <v>139</v>
      </c>
      <c r="I8">
        <f t="shared" ref="I8:I71" si="10">I4+1</f>
        <v>6</v>
      </c>
      <c r="J8" t="str">
        <f>VLOOKUP(Table2[[#This Row],[Month]],MonthLookup!A:B,2,FALSE)</f>
        <v>June</v>
      </c>
      <c r="K8">
        <f t="shared" si="1"/>
        <v>0</v>
      </c>
      <c r="L8">
        <f t="shared" si="2"/>
        <v>7</v>
      </c>
      <c r="M8">
        <f t="shared" si="3"/>
        <v>1</v>
      </c>
      <c r="N8" s="1">
        <f t="shared" si="4"/>
        <v>0</v>
      </c>
      <c r="O8" s="1">
        <f t="shared" si="8"/>
        <v>2500</v>
      </c>
      <c r="P8" s="1">
        <f t="shared" si="9"/>
        <v>0</v>
      </c>
      <c r="Q8" s="1">
        <f t="shared" si="7"/>
        <v>2500</v>
      </c>
    </row>
    <row r="9" spans="1:17" x14ac:dyDescent="0.25">
      <c r="B9" s="21" t="s">
        <v>119</v>
      </c>
      <c r="C9" s="21" t="s">
        <v>120</v>
      </c>
      <c r="D9" s="21" t="s">
        <v>140</v>
      </c>
      <c r="E9" s="21" t="s">
        <v>141</v>
      </c>
      <c r="H9" t="s">
        <v>142</v>
      </c>
      <c r="I9">
        <f t="shared" si="10"/>
        <v>6</v>
      </c>
      <c r="J9" t="str">
        <f>VLOOKUP(Table2[[#This Row],[Month]],MonthLookup!A:B,2,FALSE)</f>
        <v>June</v>
      </c>
      <c r="K9">
        <f t="shared" si="1"/>
        <v>0</v>
      </c>
      <c r="L9">
        <f t="shared" si="2"/>
        <v>6</v>
      </c>
      <c r="M9">
        <f t="shared" si="3"/>
        <v>1</v>
      </c>
      <c r="N9" s="1">
        <f t="shared" si="4"/>
        <v>0</v>
      </c>
      <c r="O9" s="1">
        <f t="shared" si="8"/>
        <v>2500</v>
      </c>
      <c r="P9" s="1">
        <f t="shared" si="9"/>
        <v>0</v>
      </c>
      <c r="Q9" s="1">
        <f t="shared" si="7"/>
        <v>2500</v>
      </c>
    </row>
    <row r="10" spans="1:17" x14ac:dyDescent="0.25">
      <c r="B10" s="17" t="s">
        <v>143</v>
      </c>
      <c r="C10" s="17" t="s">
        <v>144</v>
      </c>
      <c r="D10" s="17"/>
      <c r="E10" s="17"/>
      <c r="H10" t="s">
        <v>145</v>
      </c>
      <c r="I10">
        <f t="shared" si="10"/>
        <v>6</v>
      </c>
      <c r="J10" t="str">
        <f>VLOOKUP(Table2[[#This Row],[Month]],MonthLookup!A:B,2,FALSE)</f>
        <v>June</v>
      </c>
      <c r="K10">
        <f t="shared" si="1"/>
        <v>0</v>
      </c>
      <c r="L10">
        <f t="shared" si="2"/>
        <v>5</v>
      </c>
      <c r="M10">
        <f t="shared" si="3"/>
        <v>1</v>
      </c>
      <c r="N10" s="1">
        <f t="shared" si="4"/>
        <v>0</v>
      </c>
      <c r="O10" s="1">
        <f t="shared" si="8"/>
        <v>2500</v>
      </c>
      <c r="P10" s="1">
        <f t="shared" si="9"/>
        <v>0</v>
      </c>
      <c r="Q10" s="1">
        <f t="shared" si="7"/>
        <v>2500</v>
      </c>
    </row>
    <row r="11" spans="1:17" x14ac:dyDescent="0.25">
      <c r="B11" s="26">
        <v>1</v>
      </c>
      <c r="C11" s="84"/>
      <c r="D11" s="26"/>
      <c r="E11" s="96">
        <f>GETPIVOTDATA("Hi Rate",Summary!$A$2)</f>
        <v>20000</v>
      </c>
      <c r="H11" t="s">
        <v>146</v>
      </c>
      <c r="I11">
        <f t="shared" si="10"/>
        <v>7</v>
      </c>
      <c r="J11" t="str">
        <f>VLOOKUP(Table2[[#This Row],[Month]],MonthLookup!A:B,2,FALSE)</f>
        <v>July</v>
      </c>
      <c r="K11">
        <f t="shared" si="1"/>
        <v>0</v>
      </c>
      <c r="L11">
        <f t="shared" si="2"/>
        <v>4</v>
      </c>
      <c r="M11">
        <f t="shared" si="3"/>
        <v>1</v>
      </c>
      <c r="N11" s="1">
        <f t="shared" si="4"/>
        <v>0</v>
      </c>
      <c r="O11" s="1">
        <f t="shared" si="8"/>
        <v>2500</v>
      </c>
      <c r="P11" s="1">
        <f t="shared" si="9"/>
        <v>0</v>
      </c>
      <c r="Q11" s="1">
        <f t="shared" si="7"/>
        <v>2500</v>
      </c>
    </row>
    <row r="12" spans="1:17" x14ac:dyDescent="0.25">
      <c r="A12">
        <v>1</v>
      </c>
      <c r="B12" s="26" t="s">
        <v>147</v>
      </c>
      <c r="C12" s="26" t="s">
        <v>144</v>
      </c>
      <c r="D12" s="26" t="s">
        <v>148</v>
      </c>
      <c r="E12" s="26"/>
      <c r="H12" t="s">
        <v>149</v>
      </c>
      <c r="I12">
        <f t="shared" si="10"/>
        <v>7</v>
      </c>
      <c r="J12" t="str">
        <f>VLOOKUP(Table2[[#This Row],[Month]],MonthLookup!A:B,2,FALSE)</f>
        <v>July</v>
      </c>
      <c r="K12">
        <f t="shared" si="1"/>
        <v>0</v>
      </c>
      <c r="L12">
        <f t="shared" si="2"/>
        <v>3</v>
      </c>
      <c r="M12">
        <f t="shared" si="3"/>
        <v>1</v>
      </c>
      <c r="N12" s="1">
        <f t="shared" si="4"/>
        <v>0</v>
      </c>
      <c r="O12" s="1">
        <f t="shared" si="8"/>
        <v>2500</v>
      </c>
      <c r="P12" s="1">
        <f t="shared" si="9"/>
        <v>0</v>
      </c>
      <c r="Q12" s="1">
        <f t="shared" si="7"/>
        <v>2500</v>
      </c>
    </row>
    <row r="13" spans="1:17" x14ac:dyDescent="0.25">
      <c r="A13">
        <v>2</v>
      </c>
      <c r="B13" s="26">
        <f>B11</f>
        <v>1</v>
      </c>
      <c r="C13" s="26">
        <f>$E$11*(C$11/B$11)</f>
        <v>0</v>
      </c>
      <c r="D13" s="26">
        <f>IF(B13&gt;0,C13,0)</f>
        <v>0</v>
      </c>
      <c r="E13" s="26"/>
      <c r="H13" t="s">
        <v>150</v>
      </c>
      <c r="I13">
        <f>I9+1</f>
        <v>7</v>
      </c>
      <c r="J13" t="str">
        <f>VLOOKUP(Table2[[#This Row],[Month]],MonthLookup!A:B,2,FALSE)</f>
        <v>July</v>
      </c>
      <c r="K13">
        <f>IF(NOT(K12=0),K12-1,0)</f>
        <v>0</v>
      </c>
      <c r="L13">
        <f t="shared" si="2"/>
        <v>2</v>
      </c>
      <c r="M13">
        <f t="shared" si="3"/>
        <v>1</v>
      </c>
      <c r="N13" s="1">
        <f t="shared" si="4"/>
        <v>0</v>
      </c>
      <c r="O13" s="1">
        <f>IF(AND(L13&gt;0,NOT(L13=L12)),$E$4,0)</f>
        <v>2500</v>
      </c>
      <c r="P13" s="1">
        <f>IF(AND(M13&gt;0,NOT(M13=M12)),$E$5,0)</f>
        <v>0</v>
      </c>
      <c r="Q13" s="1">
        <f t="shared" si="7"/>
        <v>2500</v>
      </c>
    </row>
    <row r="14" spans="1:17" x14ac:dyDescent="0.25">
      <c r="A14">
        <v>3</v>
      </c>
      <c r="B14" s="26">
        <f>B13-1</f>
        <v>0</v>
      </c>
      <c r="C14" s="26">
        <f>$E$11*(C$11/B$11)</f>
        <v>0</v>
      </c>
      <c r="D14" s="26">
        <f t="shared" ref="D14:D16" si="11">IF(B14&gt;0,C14,0)</f>
        <v>0</v>
      </c>
      <c r="E14" s="26"/>
      <c r="H14" t="s">
        <v>151</v>
      </c>
      <c r="I14">
        <f>I10+1</f>
        <v>7</v>
      </c>
      <c r="J14" t="str">
        <f>VLOOKUP(Table2[[#This Row],[Month]],MonthLookup!A:B,2,FALSE)</f>
        <v>July</v>
      </c>
      <c r="K14">
        <f t="shared" si="1"/>
        <v>0</v>
      </c>
      <c r="L14">
        <f t="shared" si="2"/>
        <v>1</v>
      </c>
      <c r="M14">
        <f t="shared" si="3"/>
        <v>1</v>
      </c>
      <c r="N14" s="1">
        <f t="shared" si="4"/>
        <v>0</v>
      </c>
      <c r="O14" s="1">
        <f t="shared" si="8"/>
        <v>2500</v>
      </c>
      <c r="P14" s="1">
        <f t="shared" si="9"/>
        <v>0</v>
      </c>
      <c r="Q14" s="1">
        <f t="shared" si="7"/>
        <v>2500</v>
      </c>
    </row>
    <row r="15" spans="1:17" x14ac:dyDescent="0.25">
      <c r="A15">
        <v>4</v>
      </c>
      <c r="B15" s="26">
        <f t="shared" ref="B15:B16" si="12">B14-1</f>
        <v>-1</v>
      </c>
      <c r="C15" s="26">
        <f>$E$11*(C$11/B$11)</f>
        <v>0</v>
      </c>
      <c r="D15" s="26">
        <f t="shared" si="11"/>
        <v>0</v>
      </c>
      <c r="E15" s="26"/>
      <c r="H15" t="s">
        <v>152</v>
      </c>
      <c r="I15">
        <f>I11+1</f>
        <v>8</v>
      </c>
      <c r="J15" t="str">
        <f>VLOOKUP(Table2[[#This Row],[Month]],MonthLookup!A:B,2,FALSE)</f>
        <v>August</v>
      </c>
      <c r="K15">
        <f t="shared" si="1"/>
        <v>0</v>
      </c>
      <c r="L15">
        <f t="shared" si="2"/>
        <v>0</v>
      </c>
      <c r="M15">
        <f t="shared" si="3"/>
        <v>0</v>
      </c>
      <c r="N15" s="1">
        <f t="shared" si="4"/>
        <v>0</v>
      </c>
      <c r="O15" s="1">
        <f t="shared" si="8"/>
        <v>0</v>
      </c>
      <c r="P15" s="1">
        <f t="shared" si="9"/>
        <v>0</v>
      </c>
      <c r="Q15" s="1">
        <f t="shared" si="7"/>
        <v>0</v>
      </c>
    </row>
    <row r="16" spans="1:17" x14ac:dyDescent="0.25">
      <c r="B16" s="26">
        <f t="shared" si="12"/>
        <v>-2</v>
      </c>
      <c r="C16" s="26">
        <f>$E$11*(C$11/B$11)</f>
        <v>0</v>
      </c>
      <c r="D16" s="26">
        <f t="shared" si="11"/>
        <v>0</v>
      </c>
      <c r="E16" s="26"/>
      <c r="H16" t="s">
        <v>153</v>
      </c>
      <c r="I16">
        <f>I12+1</f>
        <v>8</v>
      </c>
      <c r="J16" t="str">
        <f>VLOOKUP(Table2[[#This Row],[Month]],MonthLookup!A:B,2,FALSE)</f>
        <v>August</v>
      </c>
      <c r="K16">
        <f t="shared" si="1"/>
        <v>0</v>
      </c>
      <c r="L16">
        <f t="shared" si="2"/>
        <v>-1</v>
      </c>
      <c r="M16">
        <f t="shared" si="3"/>
        <v>-1</v>
      </c>
      <c r="N16" s="1">
        <f t="shared" si="4"/>
        <v>0</v>
      </c>
      <c r="O16" s="1">
        <f t="shared" si="8"/>
        <v>0</v>
      </c>
      <c r="P16" s="1">
        <f t="shared" si="9"/>
        <v>0</v>
      </c>
      <c r="Q16" s="1">
        <f t="shared" si="7"/>
        <v>0</v>
      </c>
    </row>
    <row r="17" spans="1:17" x14ac:dyDescent="0.25">
      <c r="H17" t="s">
        <v>154</v>
      </c>
      <c r="I17">
        <f t="shared" si="10"/>
        <v>8</v>
      </c>
      <c r="J17" t="str">
        <f>VLOOKUP(Table2[[#This Row],[Month]],MonthLookup!A:B,2,FALSE)</f>
        <v>August</v>
      </c>
      <c r="K17">
        <f t="shared" si="1"/>
        <v>0</v>
      </c>
      <c r="L17">
        <f t="shared" si="2"/>
        <v>-2</v>
      </c>
      <c r="M17">
        <f t="shared" si="3"/>
        <v>-2</v>
      </c>
      <c r="N17" s="1">
        <f t="shared" si="4"/>
        <v>0</v>
      </c>
      <c r="O17" s="1">
        <f t="shared" si="8"/>
        <v>0</v>
      </c>
      <c r="P17" s="1">
        <f t="shared" si="9"/>
        <v>0</v>
      </c>
      <c r="Q17" s="1">
        <f t="shared" si="7"/>
        <v>0</v>
      </c>
    </row>
    <row r="18" spans="1:17" x14ac:dyDescent="0.25">
      <c r="A18" s="74"/>
      <c r="B18" s="74"/>
      <c r="C18" s="74"/>
      <c r="D18" s="74"/>
      <c r="E18" s="74"/>
      <c r="F18" s="74"/>
      <c r="H18" t="s">
        <v>155</v>
      </c>
      <c r="I18">
        <f t="shared" si="10"/>
        <v>8</v>
      </c>
      <c r="J18" t="str">
        <f>VLOOKUP(Table2[[#This Row],[Month]],MonthLookup!A:B,2,FALSE)</f>
        <v>August</v>
      </c>
      <c r="K18">
        <f t="shared" si="1"/>
        <v>0</v>
      </c>
      <c r="L18">
        <f t="shared" si="2"/>
        <v>-3</v>
      </c>
      <c r="M18">
        <f t="shared" si="3"/>
        <v>-3</v>
      </c>
      <c r="N18" s="1">
        <f t="shared" si="4"/>
        <v>0</v>
      </c>
      <c r="O18" s="1">
        <f t="shared" si="8"/>
        <v>0</v>
      </c>
      <c r="P18" s="1">
        <f t="shared" si="9"/>
        <v>0</v>
      </c>
      <c r="Q18" s="1">
        <f t="shared" si="7"/>
        <v>0</v>
      </c>
    </row>
    <row r="19" spans="1:17" x14ac:dyDescent="0.25">
      <c r="H19" t="s">
        <v>156</v>
      </c>
      <c r="I19">
        <f t="shared" si="10"/>
        <v>9</v>
      </c>
      <c r="J19" t="str">
        <f>VLOOKUP(Table2[[#This Row],[Month]],MonthLookup!A:B,2,FALSE)</f>
        <v>September</v>
      </c>
      <c r="K19">
        <f t="shared" si="1"/>
        <v>0</v>
      </c>
      <c r="L19">
        <f t="shared" si="2"/>
        <v>-4</v>
      </c>
      <c r="M19">
        <f t="shared" si="3"/>
        <v>-4</v>
      </c>
      <c r="N19" s="1">
        <f t="shared" si="4"/>
        <v>0</v>
      </c>
      <c r="O19" s="1">
        <f t="shared" si="8"/>
        <v>0</v>
      </c>
      <c r="P19" s="1">
        <f t="shared" si="9"/>
        <v>0</v>
      </c>
      <c r="Q19" s="1">
        <f t="shared" si="7"/>
        <v>0</v>
      </c>
    </row>
    <row r="20" spans="1:17" x14ac:dyDescent="0.25">
      <c r="H20" t="s">
        <v>157</v>
      </c>
      <c r="I20">
        <f t="shared" si="10"/>
        <v>9</v>
      </c>
      <c r="J20" t="str">
        <f>VLOOKUP(Table2[[#This Row],[Month]],MonthLookup!A:B,2,FALSE)</f>
        <v>September</v>
      </c>
      <c r="K20">
        <f t="shared" si="1"/>
        <v>0</v>
      </c>
      <c r="L20">
        <f t="shared" si="2"/>
        <v>-5</v>
      </c>
      <c r="M20">
        <f t="shared" si="3"/>
        <v>-5</v>
      </c>
      <c r="N20" s="1">
        <f t="shared" si="4"/>
        <v>0</v>
      </c>
      <c r="O20" s="1">
        <f t="shared" si="8"/>
        <v>0</v>
      </c>
      <c r="P20" s="1">
        <f t="shared" si="9"/>
        <v>0</v>
      </c>
      <c r="Q20" s="1">
        <f t="shared" si="7"/>
        <v>0</v>
      </c>
    </row>
    <row r="21" spans="1:17" x14ac:dyDescent="0.25">
      <c r="H21" t="s">
        <v>158</v>
      </c>
      <c r="I21">
        <f t="shared" si="10"/>
        <v>9</v>
      </c>
      <c r="J21" t="str">
        <f>VLOOKUP(Table2[[#This Row],[Month]],MonthLookup!A:B,2,FALSE)</f>
        <v>September</v>
      </c>
      <c r="K21">
        <f t="shared" si="1"/>
        <v>0</v>
      </c>
      <c r="L21">
        <f t="shared" si="2"/>
        <v>-6</v>
      </c>
      <c r="M21">
        <f t="shared" si="3"/>
        <v>-6</v>
      </c>
      <c r="N21" s="1">
        <f t="shared" si="4"/>
        <v>0</v>
      </c>
      <c r="O21" s="1">
        <f t="shared" si="8"/>
        <v>0</v>
      </c>
      <c r="P21" s="1">
        <f t="shared" si="9"/>
        <v>0</v>
      </c>
      <c r="Q21" s="1">
        <f t="shared" si="7"/>
        <v>0</v>
      </c>
    </row>
    <row r="22" spans="1:17" x14ac:dyDescent="0.25">
      <c r="H22" t="s">
        <v>159</v>
      </c>
      <c r="I22">
        <f t="shared" si="10"/>
        <v>9</v>
      </c>
      <c r="J22" t="str">
        <f>VLOOKUP(Table2[[#This Row],[Month]],MonthLookup!A:B,2,FALSE)</f>
        <v>September</v>
      </c>
      <c r="K22">
        <f t="shared" si="1"/>
        <v>0</v>
      </c>
      <c r="L22">
        <f t="shared" si="2"/>
        <v>-7</v>
      </c>
      <c r="M22">
        <f t="shared" si="3"/>
        <v>-7</v>
      </c>
      <c r="N22" s="1">
        <f t="shared" si="4"/>
        <v>0</v>
      </c>
      <c r="O22" s="1">
        <f t="shared" si="8"/>
        <v>0</v>
      </c>
      <c r="P22" s="1">
        <f t="shared" si="9"/>
        <v>0</v>
      </c>
      <c r="Q22" s="1">
        <f t="shared" si="7"/>
        <v>0</v>
      </c>
    </row>
    <row r="23" spans="1:17" x14ac:dyDescent="0.25">
      <c r="H23" t="s">
        <v>160</v>
      </c>
      <c r="I23">
        <f t="shared" si="10"/>
        <v>10</v>
      </c>
      <c r="J23" t="str">
        <f>VLOOKUP(Table2[[#This Row],[Month]],MonthLookup!A:B,2,FALSE)</f>
        <v>October</v>
      </c>
      <c r="K23">
        <f t="shared" si="1"/>
        <v>0</v>
      </c>
      <c r="L23">
        <f t="shared" si="2"/>
        <v>-8</v>
      </c>
      <c r="M23">
        <f t="shared" si="3"/>
        <v>-8</v>
      </c>
      <c r="N23" s="1">
        <f t="shared" si="4"/>
        <v>0</v>
      </c>
      <c r="O23" s="1">
        <f t="shared" si="8"/>
        <v>0</v>
      </c>
      <c r="P23" s="1">
        <f t="shared" si="9"/>
        <v>0</v>
      </c>
      <c r="Q23" s="1">
        <f t="shared" si="7"/>
        <v>0</v>
      </c>
    </row>
    <row r="24" spans="1:17" x14ac:dyDescent="0.25">
      <c r="H24" t="s">
        <v>161</v>
      </c>
      <c r="I24">
        <f t="shared" si="10"/>
        <v>10</v>
      </c>
      <c r="J24" t="str">
        <f>VLOOKUP(Table2[[#This Row],[Month]],MonthLookup!A:B,2,FALSE)</f>
        <v>October</v>
      </c>
      <c r="K24">
        <f>IF(NOT(K23=0),K23-1,0)</f>
        <v>0</v>
      </c>
      <c r="L24">
        <f t="shared" si="2"/>
        <v>-9</v>
      </c>
      <c r="M24">
        <f t="shared" si="3"/>
        <v>-9</v>
      </c>
      <c r="N24" s="1">
        <f t="shared" si="4"/>
        <v>0</v>
      </c>
      <c r="O24" s="1">
        <f t="shared" si="8"/>
        <v>0</v>
      </c>
      <c r="P24" s="1">
        <f t="shared" si="9"/>
        <v>0</v>
      </c>
      <c r="Q24" s="1">
        <f t="shared" si="7"/>
        <v>0</v>
      </c>
    </row>
    <row r="25" spans="1:17" x14ac:dyDescent="0.25">
      <c r="H25" t="s">
        <v>162</v>
      </c>
      <c r="I25">
        <f t="shared" si="10"/>
        <v>10</v>
      </c>
      <c r="J25" t="str">
        <f>VLOOKUP(Table2[[#This Row],[Month]],MonthLookup!A:B,2,FALSE)</f>
        <v>October</v>
      </c>
      <c r="K25">
        <f t="shared" si="1"/>
        <v>0</v>
      </c>
      <c r="L25">
        <f t="shared" si="2"/>
        <v>-10</v>
      </c>
      <c r="M25">
        <f t="shared" si="3"/>
        <v>-10</v>
      </c>
      <c r="N25" s="1">
        <f t="shared" si="4"/>
        <v>0</v>
      </c>
      <c r="O25" s="1">
        <f t="shared" si="8"/>
        <v>0</v>
      </c>
      <c r="P25" s="1">
        <f t="shared" si="9"/>
        <v>0</v>
      </c>
      <c r="Q25" s="1">
        <f t="shared" si="7"/>
        <v>0</v>
      </c>
    </row>
    <row r="26" spans="1:17" x14ac:dyDescent="0.25">
      <c r="H26" t="s">
        <v>163</v>
      </c>
      <c r="I26">
        <f t="shared" si="10"/>
        <v>10</v>
      </c>
      <c r="J26" t="str">
        <f>VLOOKUP(Table2[[#This Row],[Month]],MonthLookup!A:B,2,FALSE)</f>
        <v>October</v>
      </c>
      <c r="K26">
        <f t="shared" si="1"/>
        <v>0</v>
      </c>
      <c r="L26">
        <f t="shared" si="2"/>
        <v>-11</v>
      </c>
      <c r="M26">
        <f t="shared" si="3"/>
        <v>-11</v>
      </c>
      <c r="N26" s="1">
        <f t="shared" si="4"/>
        <v>0</v>
      </c>
      <c r="O26" s="1">
        <f t="shared" si="8"/>
        <v>0</v>
      </c>
      <c r="P26" s="1">
        <f t="shared" si="9"/>
        <v>0</v>
      </c>
      <c r="Q26" s="1">
        <f t="shared" si="7"/>
        <v>0</v>
      </c>
    </row>
    <row r="27" spans="1:17" x14ac:dyDescent="0.25">
      <c r="H27" t="s">
        <v>164</v>
      </c>
      <c r="I27">
        <f t="shared" si="10"/>
        <v>11</v>
      </c>
      <c r="J27" t="str">
        <f>VLOOKUP(Table2[[#This Row],[Month]],MonthLookup!A:B,2,FALSE)</f>
        <v>November</v>
      </c>
      <c r="K27">
        <f t="shared" si="1"/>
        <v>0</v>
      </c>
      <c r="L27">
        <f t="shared" si="2"/>
        <v>-12</v>
      </c>
      <c r="M27">
        <f t="shared" si="3"/>
        <v>-12</v>
      </c>
      <c r="N27" s="1">
        <f t="shared" si="4"/>
        <v>0</v>
      </c>
      <c r="O27" s="1">
        <f t="shared" si="8"/>
        <v>0</v>
      </c>
      <c r="P27" s="1">
        <f t="shared" si="9"/>
        <v>0</v>
      </c>
      <c r="Q27" s="1">
        <f t="shared" si="7"/>
        <v>0</v>
      </c>
    </row>
    <row r="28" spans="1:17" x14ac:dyDescent="0.25">
      <c r="H28" t="s">
        <v>165</v>
      </c>
      <c r="I28">
        <f t="shared" si="10"/>
        <v>11</v>
      </c>
      <c r="J28" t="str">
        <f>VLOOKUP(Table2[[#This Row],[Month]],MonthLookup!A:B,2,FALSE)</f>
        <v>November</v>
      </c>
      <c r="K28">
        <f t="shared" si="1"/>
        <v>0</v>
      </c>
      <c r="L28">
        <f t="shared" si="2"/>
        <v>-13</v>
      </c>
      <c r="M28">
        <f t="shared" si="3"/>
        <v>-13</v>
      </c>
      <c r="N28" s="1">
        <f t="shared" si="4"/>
        <v>0</v>
      </c>
      <c r="O28" s="1">
        <f t="shared" si="8"/>
        <v>0</v>
      </c>
      <c r="P28" s="1">
        <f t="shared" si="9"/>
        <v>0</v>
      </c>
      <c r="Q28" s="1">
        <f t="shared" si="7"/>
        <v>0</v>
      </c>
    </row>
    <row r="29" spans="1:17" x14ac:dyDescent="0.25">
      <c r="H29" t="s">
        <v>166</v>
      </c>
      <c r="I29">
        <f t="shared" si="10"/>
        <v>11</v>
      </c>
      <c r="J29" t="str">
        <f>VLOOKUP(Table2[[#This Row],[Month]],MonthLookup!A:B,2,FALSE)</f>
        <v>November</v>
      </c>
      <c r="K29">
        <f t="shared" si="1"/>
        <v>0</v>
      </c>
      <c r="L29">
        <f t="shared" si="2"/>
        <v>-14</v>
      </c>
      <c r="M29">
        <f t="shared" si="3"/>
        <v>-14</v>
      </c>
      <c r="N29" s="1">
        <f t="shared" si="4"/>
        <v>0</v>
      </c>
      <c r="O29" s="1">
        <f t="shared" si="8"/>
        <v>0</v>
      </c>
      <c r="P29" s="1">
        <f t="shared" si="9"/>
        <v>0</v>
      </c>
      <c r="Q29" s="1">
        <f t="shared" si="7"/>
        <v>0</v>
      </c>
    </row>
    <row r="30" spans="1:17" x14ac:dyDescent="0.25">
      <c r="H30" t="s">
        <v>167</v>
      </c>
      <c r="I30">
        <f t="shared" si="10"/>
        <v>11</v>
      </c>
      <c r="J30" t="str">
        <f>VLOOKUP(Table2[[#This Row],[Month]],MonthLookup!A:B,2,FALSE)</f>
        <v>November</v>
      </c>
      <c r="K30">
        <f t="shared" si="1"/>
        <v>0</v>
      </c>
      <c r="L30">
        <f t="shared" si="2"/>
        <v>-15</v>
      </c>
      <c r="M30">
        <f t="shared" si="3"/>
        <v>-15</v>
      </c>
      <c r="N30" s="1">
        <f t="shared" si="4"/>
        <v>0</v>
      </c>
      <c r="O30" s="1">
        <f t="shared" si="8"/>
        <v>0</v>
      </c>
      <c r="P30" s="1">
        <f t="shared" si="9"/>
        <v>0</v>
      </c>
      <c r="Q30" s="1">
        <f t="shared" si="7"/>
        <v>0</v>
      </c>
    </row>
    <row r="31" spans="1:17" x14ac:dyDescent="0.25">
      <c r="H31" t="s">
        <v>168</v>
      </c>
      <c r="I31">
        <f t="shared" si="10"/>
        <v>12</v>
      </c>
      <c r="J31" t="str">
        <f>VLOOKUP(Table2[[#This Row],[Month]],MonthLookup!A:B,2,FALSE)</f>
        <v>December</v>
      </c>
      <c r="K31">
        <f t="shared" si="1"/>
        <v>0</v>
      </c>
      <c r="L31">
        <f t="shared" si="2"/>
        <v>-16</v>
      </c>
      <c r="M31">
        <f t="shared" si="3"/>
        <v>-16</v>
      </c>
      <c r="N31" s="1">
        <f t="shared" si="4"/>
        <v>0</v>
      </c>
      <c r="O31" s="1">
        <f t="shared" si="8"/>
        <v>0</v>
      </c>
      <c r="P31" s="1">
        <f t="shared" si="9"/>
        <v>0</v>
      </c>
      <c r="Q31" s="1">
        <f t="shared" si="7"/>
        <v>0</v>
      </c>
    </row>
    <row r="32" spans="1:17" x14ac:dyDescent="0.25">
      <c r="H32" t="s">
        <v>169</v>
      </c>
      <c r="I32">
        <f t="shared" si="10"/>
        <v>12</v>
      </c>
      <c r="J32" t="str">
        <f>VLOOKUP(Table2[[#This Row],[Month]],MonthLookup!A:B,2,FALSE)</f>
        <v>December</v>
      </c>
      <c r="K32">
        <f t="shared" si="1"/>
        <v>0</v>
      </c>
      <c r="L32">
        <f t="shared" si="2"/>
        <v>-17</v>
      </c>
      <c r="M32">
        <f t="shared" si="3"/>
        <v>-17</v>
      </c>
      <c r="N32" s="1">
        <f t="shared" si="4"/>
        <v>0</v>
      </c>
      <c r="O32" s="1">
        <f t="shared" si="8"/>
        <v>0</v>
      </c>
      <c r="P32" s="1">
        <f t="shared" si="9"/>
        <v>0</v>
      </c>
      <c r="Q32" s="1">
        <f t="shared" si="7"/>
        <v>0</v>
      </c>
    </row>
    <row r="33" spans="8:17" x14ac:dyDescent="0.25">
      <c r="H33" t="s">
        <v>170</v>
      </c>
      <c r="I33">
        <f t="shared" si="10"/>
        <v>12</v>
      </c>
      <c r="J33" t="str">
        <f>VLOOKUP(Table2[[#This Row],[Month]],MonthLookup!A:B,2,FALSE)</f>
        <v>December</v>
      </c>
      <c r="K33">
        <f t="shared" si="1"/>
        <v>0</v>
      </c>
      <c r="L33">
        <f t="shared" si="2"/>
        <v>-18</v>
      </c>
      <c r="M33">
        <f t="shared" si="3"/>
        <v>-18</v>
      </c>
      <c r="N33" s="1">
        <f t="shared" si="4"/>
        <v>0</v>
      </c>
      <c r="O33" s="1">
        <f t="shared" si="8"/>
        <v>0</v>
      </c>
      <c r="P33" s="1">
        <f t="shared" si="9"/>
        <v>0</v>
      </c>
      <c r="Q33" s="1">
        <f t="shared" si="7"/>
        <v>0</v>
      </c>
    </row>
    <row r="34" spans="8:17" x14ac:dyDescent="0.25">
      <c r="H34" t="s">
        <v>171</v>
      </c>
      <c r="I34">
        <f t="shared" si="10"/>
        <v>12</v>
      </c>
      <c r="J34" t="str">
        <f>VLOOKUP(Table2[[#This Row],[Month]],MonthLookup!A:B,2,FALSE)</f>
        <v>December</v>
      </c>
      <c r="K34">
        <f t="shared" si="1"/>
        <v>0</v>
      </c>
      <c r="L34">
        <f t="shared" si="2"/>
        <v>-19</v>
      </c>
      <c r="M34">
        <f t="shared" si="3"/>
        <v>-19</v>
      </c>
      <c r="N34" s="1">
        <f t="shared" si="4"/>
        <v>0</v>
      </c>
      <c r="O34" s="1">
        <f t="shared" si="8"/>
        <v>0</v>
      </c>
      <c r="P34" s="1">
        <f t="shared" si="9"/>
        <v>0</v>
      </c>
      <c r="Q34" s="1">
        <f t="shared" si="7"/>
        <v>0</v>
      </c>
    </row>
    <row r="35" spans="8:17" x14ac:dyDescent="0.25">
      <c r="H35" t="s">
        <v>172</v>
      </c>
      <c r="I35">
        <f t="shared" si="10"/>
        <v>13</v>
      </c>
      <c r="J35" t="str">
        <f>VLOOKUP(Table2[[#This Row],[Month]],MonthLookup!A:B,2,FALSE)</f>
        <v>January</v>
      </c>
      <c r="K35">
        <f t="shared" si="1"/>
        <v>0</v>
      </c>
      <c r="L35">
        <f t="shared" si="2"/>
        <v>-20</v>
      </c>
      <c r="M35">
        <f t="shared" si="3"/>
        <v>-20</v>
      </c>
      <c r="N35" s="1">
        <f t="shared" si="4"/>
        <v>0</v>
      </c>
      <c r="O35" s="1">
        <f t="shared" si="8"/>
        <v>0</v>
      </c>
      <c r="P35" s="1">
        <f t="shared" si="9"/>
        <v>0</v>
      </c>
      <c r="Q35" s="1">
        <f t="shared" si="7"/>
        <v>0</v>
      </c>
    </row>
    <row r="36" spans="8:17" x14ac:dyDescent="0.25">
      <c r="H36" t="s">
        <v>173</v>
      </c>
      <c r="I36">
        <f t="shared" si="10"/>
        <v>13</v>
      </c>
      <c r="J36" t="str">
        <f>VLOOKUP(Table2[[#This Row],[Month]],MonthLookup!A:B,2,FALSE)</f>
        <v>January</v>
      </c>
      <c r="K36">
        <f t="shared" si="1"/>
        <v>0</v>
      </c>
      <c r="L36">
        <f t="shared" ref="L36:L67" si="13">IF(K36=0,L35-1,$L$1)</f>
        <v>-21</v>
      </c>
      <c r="M36">
        <f t="shared" ref="M36:M67" si="14">IF(L36&lt;=0,M35-1,$M$1)</f>
        <v>-21</v>
      </c>
      <c r="N36" s="1">
        <f t="shared" si="4"/>
        <v>0</v>
      </c>
      <c r="O36" s="1">
        <f t="shared" si="8"/>
        <v>0</v>
      </c>
      <c r="P36" s="1">
        <f t="shared" si="9"/>
        <v>0</v>
      </c>
      <c r="Q36" s="1">
        <f t="shared" si="7"/>
        <v>0</v>
      </c>
    </row>
    <row r="37" spans="8:17" x14ac:dyDescent="0.25">
      <c r="H37" t="s">
        <v>174</v>
      </c>
      <c r="I37">
        <f t="shared" si="10"/>
        <v>13</v>
      </c>
      <c r="J37" t="str">
        <f>VLOOKUP(Table2[[#This Row],[Month]],MonthLookup!A:B,2,FALSE)</f>
        <v>January</v>
      </c>
      <c r="K37">
        <f t="shared" si="1"/>
        <v>0</v>
      </c>
      <c r="L37">
        <f t="shared" si="13"/>
        <v>-22</v>
      </c>
      <c r="M37">
        <f t="shared" si="14"/>
        <v>-22</v>
      </c>
      <c r="N37" s="1">
        <f t="shared" si="4"/>
        <v>0</v>
      </c>
      <c r="O37" s="1">
        <f t="shared" si="8"/>
        <v>0</v>
      </c>
      <c r="P37" s="1">
        <f t="shared" si="9"/>
        <v>0</v>
      </c>
      <c r="Q37" s="1">
        <f t="shared" si="7"/>
        <v>0</v>
      </c>
    </row>
    <row r="38" spans="8:17" x14ac:dyDescent="0.25">
      <c r="H38" t="s">
        <v>175</v>
      </c>
      <c r="I38">
        <f t="shared" si="10"/>
        <v>13</v>
      </c>
      <c r="J38" t="str">
        <f>VLOOKUP(Table2[[#This Row],[Month]],MonthLookup!A:B,2,FALSE)</f>
        <v>January</v>
      </c>
      <c r="K38">
        <f t="shared" si="1"/>
        <v>0</v>
      </c>
      <c r="L38">
        <f t="shared" si="13"/>
        <v>-23</v>
      </c>
      <c r="M38">
        <f t="shared" si="14"/>
        <v>-23</v>
      </c>
      <c r="N38" s="1">
        <f t="shared" si="4"/>
        <v>0</v>
      </c>
      <c r="O38" s="1">
        <f t="shared" si="8"/>
        <v>0</v>
      </c>
      <c r="P38" s="1">
        <f t="shared" si="9"/>
        <v>0</v>
      </c>
      <c r="Q38" s="1">
        <f t="shared" si="7"/>
        <v>0</v>
      </c>
    </row>
    <row r="39" spans="8:17" x14ac:dyDescent="0.25">
      <c r="H39" t="s">
        <v>176</v>
      </c>
      <c r="I39">
        <f t="shared" si="10"/>
        <v>14</v>
      </c>
      <c r="J39" t="str">
        <f>VLOOKUP(Table2[[#This Row],[Month]],MonthLookup!A:B,2,FALSE)</f>
        <v>February</v>
      </c>
      <c r="K39">
        <f t="shared" si="1"/>
        <v>0</v>
      </c>
      <c r="L39">
        <f t="shared" si="13"/>
        <v>-24</v>
      </c>
      <c r="M39">
        <f t="shared" si="14"/>
        <v>-24</v>
      </c>
      <c r="N39" s="1">
        <f t="shared" si="4"/>
        <v>0</v>
      </c>
      <c r="O39" s="1">
        <f t="shared" si="8"/>
        <v>0</v>
      </c>
      <c r="P39" s="1">
        <f t="shared" si="9"/>
        <v>0</v>
      </c>
      <c r="Q39" s="1">
        <f t="shared" si="7"/>
        <v>0</v>
      </c>
    </row>
    <row r="40" spans="8:17" x14ac:dyDescent="0.25">
      <c r="H40" t="s">
        <v>177</v>
      </c>
      <c r="I40">
        <f t="shared" si="10"/>
        <v>14</v>
      </c>
      <c r="J40" t="str">
        <f>VLOOKUP(Table2[[#This Row],[Month]],MonthLookup!A:B,2,FALSE)</f>
        <v>February</v>
      </c>
      <c r="K40">
        <f t="shared" si="1"/>
        <v>0</v>
      </c>
      <c r="L40">
        <f t="shared" si="13"/>
        <v>-25</v>
      </c>
      <c r="M40">
        <f t="shared" si="14"/>
        <v>-25</v>
      </c>
      <c r="N40" s="1">
        <f t="shared" si="4"/>
        <v>0</v>
      </c>
      <c r="O40" s="1">
        <f t="shared" si="8"/>
        <v>0</v>
      </c>
      <c r="P40" s="1">
        <f t="shared" si="9"/>
        <v>0</v>
      </c>
      <c r="Q40" s="1">
        <f t="shared" si="7"/>
        <v>0</v>
      </c>
    </row>
    <row r="41" spans="8:17" x14ac:dyDescent="0.25">
      <c r="H41" t="s">
        <v>178</v>
      </c>
      <c r="I41">
        <f t="shared" si="10"/>
        <v>14</v>
      </c>
      <c r="J41" t="str">
        <f>VLOOKUP(Table2[[#This Row],[Month]],MonthLookup!A:B,2,FALSE)</f>
        <v>February</v>
      </c>
      <c r="K41">
        <f t="shared" si="1"/>
        <v>0</v>
      </c>
      <c r="L41">
        <f t="shared" si="13"/>
        <v>-26</v>
      </c>
      <c r="M41">
        <f t="shared" si="14"/>
        <v>-26</v>
      </c>
      <c r="N41" s="1">
        <f t="shared" si="4"/>
        <v>0</v>
      </c>
      <c r="O41" s="1">
        <f t="shared" si="8"/>
        <v>0</v>
      </c>
      <c r="P41" s="1">
        <f t="shared" si="9"/>
        <v>0</v>
      </c>
      <c r="Q41" s="1">
        <f t="shared" si="7"/>
        <v>0</v>
      </c>
    </row>
    <row r="42" spans="8:17" x14ac:dyDescent="0.25">
      <c r="H42" t="s">
        <v>179</v>
      </c>
      <c r="I42">
        <f t="shared" si="10"/>
        <v>14</v>
      </c>
      <c r="J42" t="str">
        <f>VLOOKUP(Table2[[#This Row],[Month]],MonthLookup!A:B,2,FALSE)</f>
        <v>February</v>
      </c>
      <c r="K42">
        <f t="shared" si="1"/>
        <v>0</v>
      </c>
      <c r="L42">
        <f t="shared" si="13"/>
        <v>-27</v>
      </c>
      <c r="M42">
        <f t="shared" si="14"/>
        <v>-27</v>
      </c>
      <c r="N42" s="1">
        <f t="shared" si="4"/>
        <v>0</v>
      </c>
      <c r="O42" s="1">
        <f t="shared" si="8"/>
        <v>0</v>
      </c>
      <c r="P42" s="1">
        <f t="shared" si="9"/>
        <v>0</v>
      </c>
      <c r="Q42" s="1">
        <f t="shared" si="7"/>
        <v>0</v>
      </c>
    </row>
    <row r="43" spans="8:17" x14ac:dyDescent="0.25">
      <c r="H43" t="s">
        <v>180</v>
      </c>
      <c r="I43">
        <f t="shared" si="10"/>
        <v>15</v>
      </c>
      <c r="J43" t="str">
        <f>VLOOKUP(Table2[[#This Row],[Month]],MonthLookup!A:B,2,FALSE)</f>
        <v>March</v>
      </c>
      <c r="K43">
        <f t="shared" si="1"/>
        <v>0</v>
      </c>
      <c r="L43">
        <f t="shared" si="13"/>
        <v>-28</v>
      </c>
      <c r="M43">
        <f t="shared" si="14"/>
        <v>-28</v>
      </c>
      <c r="N43" s="1">
        <f t="shared" si="4"/>
        <v>0</v>
      </c>
      <c r="O43" s="1">
        <f t="shared" si="8"/>
        <v>0</v>
      </c>
      <c r="P43" s="1">
        <f t="shared" si="9"/>
        <v>0</v>
      </c>
      <c r="Q43" s="1">
        <f t="shared" si="7"/>
        <v>0</v>
      </c>
    </row>
    <row r="44" spans="8:17" x14ac:dyDescent="0.25">
      <c r="H44" t="s">
        <v>181</v>
      </c>
      <c r="I44">
        <f t="shared" si="10"/>
        <v>15</v>
      </c>
      <c r="J44" t="str">
        <f>VLOOKUP(Table2[[#This Row],[Month]],MonthLookup!A:B,2,FALSE)</f>
        <v>March</v>
      </c>
      <c r="K44">
        <f t="shared" si="1"/>
        <v>0</v>
      </c>
      <c r="L44">
        <f t="shared" si="13"/>
        <v>-29</v>
      </c>
      <c r="M44">
        <f t="shared" si="14"/>
        <v>-29</v>
      </c>
      <c r="N44" s="1">
        <f t="shared" si="4"/>
        <v>0</v>
      </c>
      <c r="O44" s="1">
        <f t="shared" si="8"/>
        <v>0</v>
      </c>
      <c r="P44" s="1">
        <f t="shared" si="9"/>
        <v>0</v>
      </c>
      <c r="Q44" s="1">
        <f t="shared" si="7"/>
        <v>0</v>
      </c>
    </row>
    <row r="45" spans="8:17" x14ac:dyDescent="0.25">
      <c r="H45" t="s">
        <v>182</v>
      </c>
      <c r="I45">
        <f t="shared" si="10"/>
        <v>15</v>
      </c>
      <c r="J45" t="str">
        <f>VLOOKUP(Table2[[#This Row],[Month]],MonthLookup!A:B,2,FALSE)</f>
        <v>March</v>
      </c>
      <c r="K45">
        <f t="shared" si="1"/>
        <v>0</v>
      </c>
      <c r="L45">
        <f t="shared" si="13"/>
        <v>-30</v>
      </c>
      <c r="M45">
        <f t="shared" si="14"/>
        <v>-30</v>
      </c>
      <c r="N45" s="1">
        <f t="shared" si="4"/>
        <v>0</v>
      </c>
      <c r="O45" s="1">
        <f t="shared" si="8"/>
        <v>0</v>
      </c>
      <c r="P45" s="1">
        <f t="shared" si="9"/>
        <v>0</v>
      </c>
      <c r="Q45" s="1">
        <f t="shared" si="7"/>
        <v>0</v>
      </c>
    </row>
    <row r="46" spans="8:17" x14ac:dyDescent="0.25">
      <c r="H46" t="s">
        <v>183</v>
      </c>
      <c r="I46">
        <f t="shared" si="10"/>
        <v>15</v>
      </c>
      <c r="J46" t="str">
        <f>VLOOKUP(Table2[[#This Row],[Month]],MonthLookup!A:B,2,FALSE)</f>
        <v>March</v>
      </c>
      <c r="K46">
        <f t="shared" si="1"/>
        <v>0</v>
      </c>
      <c r="L46">
        <f t="shared" si="13"/>
        <v>-31</v>
      </c>
      <c r="M46">
        <f t="shared" si="14"/>
        <v>-31</v>
      </c>
      <c r="N46" s="1">
        <f t="shared" si="4"/>
        <v>0</v>
      </c>
      <c r="O46" s="1">
        <f t="shared" si="8"/>
        <v>0</v>
      </c>
      <c r="P46" s="1">
        <f t="shared" si="9"/>
        <v>0</v>
      </c>
      <c r="Q46" s="1">
        <f t="shared" si="7"/>
        <v>0</v>
      </c>
    </row>
    <row r="47" spans="8:17" x14ac:dyDescent="0.25">
      <c r="H47" t="s">
        <v>184</v>
      </c>
      <c r="I47">
        <f t="shared" si="10"/>
        <v>16</v>
      </c>
      <c r="J47" t="str">
        <f>VLOOKUP(Table2[[#This Row],[Month]],MonthLookup!A:B,2,FALSE)</f>
        <v>April</v>
      </c>
      <c r="K47">
        <f t="shared" si="1"/>
        <v>0</v>
      </c>
      <c r="L47">
        <f t="shared" si="13"/>
        <v>-32</v>
      </c>
      <c r="M47">
        <f t="shared" si="14"/>
        <v>-32</v>
      </c>
      <c r="N47" s="1">
        <f t="shared" si="4"/>
        <v>0</v>
      </c>
      <c r="O47" s="1">
        <f t="shared" si="8"/>
        <v>0</v>
      </c>
      <c r="P47" s="1">
        <f t="shared" si="9"/>
        <v>0</v>
      </c>
      <c r="Q47" s="1">
        <f t="shared" si="7"/>
        <v>0</v>
      </c>
    </row>
    <row r="48" spans="8:17" x14ac:dyDescent="0.25">
      <c r="H48" t="s">
        <v>185</v>
      </c>
      <c r="I48">
        <f t="shared" si="10"/>
        <v>16</v>
      </c>
      <c r="J48" t="str">
        <f>VLOOKUP(Table2[[#This Row],[Month]],MonthLookup!A:B,2,FALSE)</f>
        <v>April</v>
      </c>
      <c r="K48">
        <f t="shared" si="1"/>
        <v>0</v>
      </c>
      <c r="L48">
        <f t="shared" si="13"/>
        <v>-33</v>
      </c>
      <c r="M48">
        <f t="shared" si="14"/>
        <v>-33</v>
      </c>
      <c r="N48" s="1">
        <f t="shared" si="4"/>
        <v>0</v>
      </c>
      <c r="O48" s="1">
        <f t="shared" si="8"/>
        <v>0</v>
      </c>
      <c r="P48" s="1">
        <f t="shared" si="9"/>
        <v>0</v>
      </c>
      <c r="Q48" s="1">
        <f t="shared" si="7"/>
        <v>0</v>
      </c>
    </row>
    <row r="49" spans="8:17" x14ac:dyDescent="0.25">
      <c r="H49" t="s">
        <v>186</v>
      </c>
      <c r="I49">
        <f t="shared" si="10"/>
        <v>16</v>
      </c>
      <c r="J49" t="str">
        <f>VLOOKUP(Table2[[#This Row],[Month]],MonthLookup!A:B,2,FALSE)</f>
        <v>April</v>
      </c>
      <c r="K49">
        <f t="shared" si="1"/>
        <v>0</v>
      </c>
      <c r="L49">
        <f t="shared" si="13"/>
        <v>-34</v>
      </c>
      <c r="M49">
        <f t="shared" si="14"/>
        <v>-34</v>
      </c>
      <c r="N49" s="1">
        <f t="shared" si="4"/>
        <v>0</v>
      </c>
      <c r="O49" s="1">
        <f t="shared" si="8"/>
        <v>0</v>
      </c>
      <c r="P49" s="1">
        <f t="shared" si="9"/>
        <v>0</v>
      </c>
      <c r="Q49" s="1">
        <f t="shared" si="7"/>
        <v>0</v>
      </c>
    </row>
    <row r="50" spans="8:17" x14ac:dyDescent="0.25">
      <c r="H50" t="s">
        <v>187</v>
      </c>
      <c r="I50">
        <f t="shared" si="10"/>
        <v>16</v>
      </c>
      <c r="J50" t="str">
        <f>VLOOKUP(Table2[[#This Row],[Month]],MonthLookup!A:B,2,FALSE)</f>
        <v>April</v>
      </c>
      <c r="K50">
        <f t="shared" si="1"/>
        <v>0</v>
      </c>
      <c r="L50">
        <f t="shared" si="13"/>
        <v>-35</v>
      </c>
      <c r="M50">
        <f t="shared" si="14"/>
        <v>-35</v>
      </c>
      <c r="N50" s="1">
        <f t="shared" si="4"/>
        <v>0</v>
      </c>
      <c r="O50" s="1">
        <f t="shared" si="8"/>
        <v>0</v>
      </c>
      <c r="P50" s="1">
        <f t="shared" si="9"/>
        <v>0</v>
      </c>
      <c r="Q50" s="1">
        <f t="shared" si="7"/>
        <v>0</v>
      </c>
    </row>
    <row r="51" spans="8:17" x14ac:dyDescent="0.25">
      <c r="H51" t="s">
        <v>188</v>
      </c>
      <c r="I51">
        <f t="shared" si="10"/>
        <v>17</v>
      </c>
      <c r="J51" t="str">
        <f>VLOOKUP(Table2[[#This Row],[Month]],MonthLookup!A:B,2,FALSE)</f>
        <v>May</v>
      </c>
      <c r="K51">
        <f t="shared" si="1"/>
        <v>0</v>
      </c>
      <c r="L51">
        <f t="shared" si="13"/>
        <v>-36</v>
      </c>
      <c r="M51">
        <f t="shared" si="14"/>
        <v>-36</v>
      </c>
      <c r="N51" s="1">
        <f t="shared" si="4"/>
        <v>0</v>
      </c>
      <c r="O51" s="1">
        <f t="shared" si="8"/>
        <v>0</v>
      </c>
      <c r="P51" s="1">
        <f t="shared" si="9"/>
        <v>0</v>
      </c>
      <c r="Q51" s="1">
        <f t="shared" si="7"/>
        <v>0</v>
      </c>
    </row>
    <row r="52" spans="8:17" x14ac:dyDescent="0.25">
      <c r="H52" t="s">
        <v>189</v>
      </c>
      <c r="I52">
        <f t="shared" si="10"/>
        <v>17</v>
      </c>
      <c r="J52" t="str">
        <f>VLOOKUP(Table2[[#This Row],[Month]],MonthLookup!A:B,2,FALSE)</f>
        <v>May</v>
      </c>
      <c r="K52">
        <f t="shared" si="1"/>
        <v>0</v>
      </c>
      <c r="L52">
        <f t="shared" si="13"/>
        <v>-37</v>
      </c>
      <c r="M52">
        <f t="shared" si="14"/>
        <v>-37</v>
      </c>
      <c r="N52" s="1">
        <f t="shared" si="4"/>
        <v>0</v>
      </c>
      <c r="O52" s="1">
        <f t="shared" si="8"/>
        <v>0</v>
      </c>
      <c r="P52" s="1">
        <f t="shared" si="9"/>
        <v>0</v>
      </c>
      <c r="Q52" s="1">
        <f t="shared" si="7"/>
        <v>0</v>
      </c>
    </row>
    <row r="53" spans="8:17" x14ac:dyDescent="0.25">
      <c r="H53" t="s">
        <v>190</v>
      </c>
      <c r="I53">
        <f t="shared" si="10"/>
        <v>17</v>
      </c>
      <c r="J53" t="str">
        <f>VLOOKUP(Table2[[#This Row],[Month]],MonthLookup!A:B,2,FALSE)</f>
        <v>May</v>
      </c>
      <c r="K53">
        <f t="shared" si="1"/>
        <v>0</v>
      </c>
      <c r="L53">
        <f t="shared" si="13"/>
        <v>-38</v>
      </c>
      <c r="M53">
        <f t="shared" si="14"/>
        <v>-38</v>
      </c>
      <c r="N53" s="1">
        <f t="shared" si="4"/>
        <v>0</v>
      </c>
      <c r="O53" s="1">
        <f t="shared" si="8"/>
        <v>0</v>
      </c>
      <c r="P53" s="1">
        <f t="shared" si="9"/>
        <v>0</v>
      </c>
      <c r="Q53" s="1">
        <f t="shared" si="7"/>
        <v>0</v>
      </c>
    </row>
    <row r="54" spans="8:17" x14ac:dyDescent="0.25">
      <c r="H54" t="s">
        <v>191</v>
      </c>
      <c r="I54">
        <f t="shared" si="10"/>
        <v>17</v>
      </c>
      <c r="J54" t="str">
        <f>VLOOKUP(Table2[[#This Row],[Month]],MonthLookup!A:B,2,FALSE)</f>
        <v>May</v>
      </c>
      <c r="K54">
        <f t="shared" si="1"/>
        <v>0</v>
      </c>
      <c r="L54">
        <f t="shared" si="13"/>
        <v>-39</v>
      </c>
      <c r="M54">
        <f t="shared" si="14"/>
        <v>-39</v>
      </c>
      <c r="N54" s="1">
        <f t="shared" si="4"/>
        <v>0</v>
      </c>
      <c r="O54" s="1">
        <f t="shared" si="8"/>
        <v>0</v>
      </c>
      <c r="P54" s="1">
        <f t="shared" si="9"/>
        <v>0</v>
      </c>
      <c r="Q54" s="1">
        <f t="shared" si="7"/>
        <v>0</v>
      </c>
    </row>
    <row r="55" spans="8:17" x14ac:dyDescent="0.25">
      <c r="H55" t="s">
        <v>192</v>
      </c>
      <c r="I55">
        <f t="shared" si="10"/>
        <v>18</v>
      </c>
      <c r="J55" t="str">
        <f>VLOOKUP(Table2[[#This Row],[Month]],MonthLookup!A:B,2,FALSE)</f>
        <v>June</v>
      </c>
      <c r="K55">
        <f t="shared" si="1"/>
        <v>0</v>
      </c>
      <c r="L55">
        <f t="shared" si="13"/>
        <v>-40</v>
      </c>
      <c r="M55">
        <f t="shared" si="14"/>
        <v>-40</v>
      </c>
      <c r="N55" s="1">
        <f t="shared" si="4"/>
        <v>0</v>
      </c>
      <c r="O55" s="1">
        <f t="shared" si="8"/>
        <v>0</v>
      </c>
      <c r="P55" s="1">
        <f t="shared" si="9"/>
        <v>0</v>
      </c>
      <c r="Q55" s="1">
        <f t="shared" si="7"/>
        <v>0</v>
      </c>
    </row>
    <row r="56" spans="8:17" x14ac:dyDescent="0.25">
      <c r="H56" t="s">
        <v>193</v>
      </c>
      <c r="I56">
        <f t="shared" si="10"/>
        <v>18</v>
      </c>
      <c r="J56" t="str">
        <f>VLOOKUP(Table2[[#This Row],[Month]],MonthLookup!A:B,2,FALSE)</f>
        <v>June</v>
      </c>
      <c r="K56">
        <f t="shared" si="1"/>
        <v>0</v>
      </c>
      <c r="L56">
        <f t="shared" si="13"/>
        <v>-41</v>
      </c>
      <c r="M56">
        <f t="shared" si="14"/>
        <v>-41</v>
      </c>
      <c r="N56" s="1">
        <f t="shared" si="4"/>
        <v>0</v>
      </c>
      <c r="O56" s="1">
        <f t="shared" si="8"/>
        <v>0</v>
      </c>
      <c r="P56" s="1">
        <f t="shared" si="9"/>
        <v>0</v>
      </c>
      <c r="Q56" s="1">
        <f t="shared" si="7"/>
        <v>0</v>
      </c>
    </row>
    <row r="57" spans="8:17" x14ac:dyDescent="0.25">
      <c r="H57" t="s">
        <v>194</v>
      </c>
      <c r="I57">
        <f t="shared" si="10"/>
        <v>18</v>
      </c>
      <c r="J57" t="str">
        <f>VLOOKUP(Table2[[#This Row],[Month]],MonthLookup!A:B,2,FALSE)</f>
        <v>June</v>
      </c>
      <c r="K57">
        <f t="shared" si="1"/>
        <v>0</v>
      </c>
      <c r="L57">
        <f t="shared" si="13"/>
        <v>-42</v>
      </c>
      <c r="M57">
        <f t="shared" si="14"/>
        <v>-42</v>
      </c>
      <c r="N57" s="1">
        <f t="shared" si="4"/>
        <v>0</v>
      </c>
      <c r="O57" s="1">
        <f t="shared" si="8"/>
        <v>0</v>
      </c>
      <c r="P57" s="1">
        <f t="shared" si="9"/>
        <v>0</v>
      </c>
      <c r="Q57" s="1">
        <f t="shared" si="7"/>
        <v>0</v>
      </c>
    </row>
    <row r="58" spans="8:17" x14ac:dyDescent="0.25">
      <c r="H58" t="s">
        <v>195</v>
      </c>
      <c r="I58">
        <f t="shared" si="10"/>
        <v>18</v>
      </c>
      <c r="J58" t="str">
        <f>VLOOKUP(Table2[[#This Row],[Month]],MonthLookup!A:B,2,FALSE)</f>
        <v>June</v>
      </c>
      <c r="K58">
        <f t="shared" si="1"/>
        <v>0</v>
      </c>
      <c r="L58">
        <f t="shared" si="13"/>
        <v>-43</v>
      </c>
      <c r="M58">
        <f t="shared" si="14"/>
        <v>-43</v>
      </c>
      <c r="N58" s="1">
        <f t="shared" si="4"/>
        <v>0</v>
      </c>
      <c r="O58" s="1">
        <f t="shared" si="8"/>
        <v>0</v>
      </c>
      <c r="P58" s="1">
        <f t="shared" si="9"/>
        <v>0</v>
      </c>
      <c r="Q58" s="1">
        <f t="shared" si="7"/>
        <v>0</v>
      </c>
    </row>
    <row r="59" spans="8:17" x14ac:dyDescent="0.25">
      <c r="H59" t="s">
        <v>196</v>
      </c>
      <c r="I59">
        <f t="shared" si="10"/>
        <v>19</v>
      </c>
      <c r="J59" t="str">
        <f>VLOOKUP(Table2[[#This Row],[Month]],MonthLookup!A:B,2,FALSE)</f>
        <v>July</v>
      </c>
      <c r="K59">
        <f t="shared" si="1"/>
        <v>0</v>
      </c>
      <c r="L59">
        <f t="shared" si="13"/>
        <v>-44</v>
      </c>
      <c r="M59">
        <f t="shared" si="14"/>
        <v>-44</v>
      </c>
      <c r="N59" s="1">
        <f t="shared" si="4"/>
        <v>0</v>
      </c>
      <c r="O59" s="1">
        <f t="shared" si="8"/>
        <v>0</v>
      </c>
      <c r="P59" s="1">
        <f t="shared" si="9"/>
        <v>0</v>
      </c>
      <c r="Q59" s="1">
        <f t="shared" si="7"/>
        <v>0</v>
      </c>
    </row>
    <row r="60" spans="8:17" x14ac:dyDescent="0.25">
      <c r="H60" t="s">
        <v>197</v>
      </c>
      <c r="I60">
        <f t="shared" si="10"/>
        <v>19</v>
      </c>
      <c r="J60" t="str">
        <f>VLOOKUP(Table2[[#This Row],[Month]],MonthLookup!A:B,2,FALSE)</f>
        <v>July</v>
      </c>
      <c r="K60">
        <f t="shared" si="1"/>
        <v>0</v>
      </c>
      <c r="L60">
        <f t="shared" si="13"/>
        <v>-45</v>
      </c>
      <c r="M60">
        <f t="shared" si="14"/>
        <v>-45</v>
      </c>
      <c r="N60" s="1">
        <f t="shared" si="4"/>
        <v>0</v>
      </c>
      <c r="O60" s="1">
        <f t="shared" si="8"/>
        <v>0</v>
      </c>
      <c r="P60" s="1">
        <f t="shared" si="9"/>
        <v>0</v>
      </c>
      <c r="Q60" s="1">
        <f t="shared" si="7"/>
        <v>0</v>
      </c>
    </row>
    <row r="61" spans="8:17" x14ac:dyDescent="0.25">
      <c r="H61" t="s">
        <v>198</v>
      </c>
      <c r="I61">
        <f t="shared" si="10"/>
        <v>19</v>
      </c>
      <c r="J61" t="str">
        <f>VLOOKUP(Table2[[#This Row],[Month]],MonthLookup!A:B,2,FALSE)</f>
        <v>July</v>
      </c>
      <c r="K61">
        <f t="shared" si="1"/>
        <v>0</v>
      </c>
      <c r="L61">
        <f t="shared" si="13"/>
        <v>-46</v>
      </c>
      <c r="M61">
        <f t="shared" si="14"/>
        <v>-46</v>
      </c>
      <c r="N61" s="1">
        <f t="shared" si="4"/>
        <v>0</v>
      </c>
      <c r="O61" s="1">
        <f t="shared" si="8"/>
        <v>0</v>
      </c>
      <c r="P61" s="1">
        <f t="shared" si="9"/>
        <v>0</v>
      </c>
      <c r="Q61" s="1">
        <f t="shared" si="7"/>
        <v>0</v>
      </c>
    </row>
    <row r="62" spans="8:17" x14ac:dyDescent="0.25">
      <c r="H62" t="s">
        <v>199</v>
      </c>
      <c r="I62">
        <f t="shared" si="10"/>
        <v>19</v>
      </c>
      <c r="J62" t="str">
        <f>VLOOKUP(Table2[[#This Row],[Month]],MonthLookup!A:B,2,FALSE)</f>
        <v>July</v>
      </c>
      <c r="K62">
        <f t="shared" si="1"/>
        <v>0</v>
      </c>
      <c r="L62">
        <f t="shared" si="13"/>
        <v>-47</v>
      </c>
      <c r="M62">
        <f t="shared" si="14"/>
        <v>-47</v>
      </c>
      <c r="N62" s="1">
        <f t="shared" si="4"/>
        <v>0</v>
      </c>
      <c r="O62" s="1">
        <f t="shared" si="8"/>
        <v>0</v>
      </c>
      <c r="P62" s="1">
        <f t="shared" si="9"/>
        <v>0</v>
      </c>
      <c r="Q62" s="1">
        <f t="shared" si="7"/>
        <v>0</v>
      </c>
    </row>
    <row r="63" spans="8:17" x14ac:dyDescent="0.25">
      <c r="H63" t="s">
        <v>200</v>
      </c>
      <c r="I63">
        <f t="shared" si="10"/>
        <v>20</v>
      </c>
      <c r="J63" t="str">
        <f>VLOOKUP(Table2[[#This Row],[Month]],MonthLookup!A:B,2,FALSE)</f>
        <v>August</v>
      </c>
      <c r="K63">
        <f t="shared" si="1"/>
        <v>0</v>
      </c>
      <c r="L63">
        <f t="shared" si="13"/>
        <v>-48</v>
      </c>
      <c r="M63">
        <f t="shared" si="14"/>
        <v>-48</v>
      </c>
      <c r="N63" s="1">
        <f t="shared" si="4"/>
        <v>0</v>
      </c>
      <c r="O63" s="1">
        <f t="shared" si="8"/>
        <v>0</v>
      </c>
      <c r="P63" s="1">
        <f t="shared" si="9"/>
        <v>0</v>
      </c>
      <c r="Q63" s="1">
        <f t="shared" si="7"/>
        <v>0</v>
      </c>
    </row>
    <row r="64" spans="8:17" x14ac:dyDescent="0.25">
      <c r="H64" t="s">
        <v>201</v>
      </c>
      <c r="I64">
        <f t="shared" si="10"/>
        <v>20</v>
      </c>
      <c r="J64" t="str">
        <f>VLOOKUP(Table2[[#This Row],[Month]],MonthLookup!A:B,2,FALSE)</f>
        <v>August</v>
      </c>
      <c r="K64">
        <f t="shared" si="1"/>
        <v>0</v>
      </c>
      <c r="L64">
        <f t="shared" si="13"/>
        <v>-49</v>
      </c>
      <c r="M64">
        <f t="shared" si="14"/>
        <v>-49</v>
      </c>
      <c r="N64" s="1">
        <f t="shared" si="4"/>
        <v>0</v>
      </c>
      <c r="O64" s="1">
        <f t="shared" si="8"/>
        <v>0</v>
      </c>
      <c r="P64" s="1">
        <f t="shared" si="9"/>
        <v>0</v>
      </c>
      <c r="Q64" s="1">
        <f t="shared" si="7"/>
        <v>0</v>
      </c>
    </row>
    <row r="65" spans="8:17" x14ac:dyDescent="0.25">
      <c r="H65" t="s">
        <v>202</v>
      </c>
      <c r="I65">
        <f t="shared" si="10"/>
        <v>20</v>
      </c>
      <c r="J65" t="str">
        <f>VLOOKUP(Table2[[#This Row],[Month]],MonthLookup!A:B,2,FALSE)</f>
        <v>August</v>
      </c>
      <c r="K65">
        <f t="shared" si="1"/>
        <v>0</v>
      </c>
      <c r="L65">
        <f t="shared" si="13"/>
        <v>-50</v>
      </c>
      <c r="M65">
        <f t="shared" si="14"/>
        <v>-50</v>
      </c>
      <c r="N65" s="1">
        <f t="shared" si="4"/>
        <v>0</v>
      </c>
      <c r="O65" s="1">
        <f t="shared" si="8"/>
        <v>0</v>
      </c>
      <c r="P65" s="1">
        <f t="shared" si="9"/>
        <v>0</v>
      </c>
      <c r="Q65" s="1">
        <f t="shared" si="7"/>
        <v>0</v>
      </c>
    </row>
    <row r="66" spans="8:17" x14ac:dyDescent="0.25">
      <c r="H66" t="s">
        <v>203</v>
      </c>
      <c r="I66">
        <f t="shared" si="10"/>
        <v>20</v>
      </c>
      <c r="J66" t="str">
        <f>VLOOKUP(Table2[[#This Row],[Month]],MonthLookup!A:B,2,FALSE)</f>
        <v>August</v>
      </c>
      <c r="K66">
        <f t="shared" si="1"/>
        <v>0</v>
      </c>
      <c r="L66">
        <f t="shared" si="13"/>
        <v>-51</v>
      </c>
      <c r="M66">
        <f t="shared" si="14"/>
        <v>-51</v>
      </c>
      <c r="N66" s="1">
        <f t="shared" si="4"/>
        <v>0</v>
      </c>
      <c r="O66" s="1">
        <f t="shared" si="8"/>
        <v>0</v>
      </c>
      <c r="P66" s="1">
        <f t="shared" si="9"/>
        <v>0</v>
      </c>
      <c r="Q66" s="1">
        <f t="shared" si="7"/>
        <v>0</v>
      </c>
    </row>
    <row r="67" spans="8:17" x14ac:dyDescent="0.25">
      <c r="H67" t="s">
        <v>204</v>
      </c>
      <c r="I67">
        <f t="shared" si="10"/>
        <v>21</v>
      </c>
      <c r="J67" t="str">
        <f>VLOOKUP(Table2[[#This Row],[Month]],MonthLookup!A:B,2,FALSE)</f>
        <v>September</v>
      </c>
      <c r="K67">
        <f t="shared" si="1"/>
        <v>0</v>
      </c>
      <c r="L67">
        <f t="shared" si="13"/>
        <v>-52</v>
      </c>
      <c r="M67">
        <f t="shared" si="14"/>
        <v>-52</v>
      </c>
      <c r="N67" s="1">
        <f t="shared" si="4"/>
        <v>0</v>
      </c>
      <c r="O67" s="1">
        <f t="shared" si="8"/>
        <v>0</v>
      </c>
      <c r="P67" s="1">
        <f t="shared" si="9"/>
        <v>0</v>
      </c>
      <c r="Q67" s="1">
        <f t="shared" si="7"/>
        <v>0</v>
      </c>
    </row>
    <row r="68" spans="8:17" x14ac:dyDescent="0.25">
      <c r="H68" t="s">
        <v>205</v>
      </c>
      <c r="I68">
        <f t="shared" si="10"/>
        <v>21</v>
      </c>
      <c r="J68" t="str">
        <f>VLOOKUP(Table2[[#This Row],[Month]],MonthLookup!A:B,2,FALSE)</f>
        <v>September</v>
      </c>
      <c r="K68">
        <f t="shared" ref="K68:K69" si="15">IF(NOT(K67=0),K67-1,0)</f>
        <v>0</v>
      </c>
      <c r="L68">
        <f t="shared" ref="L68:L83" si="16">IF(K68=0,L67-1,$L$1)</f>
        <v>-53</v>
      </c>
      <c r="M68">
        <f t="shared" ref="M68:M83" si="17">IF(L68&lt;=0,M67-1,$M$1)</f>
        <v>-53</v>
      </c>
      <c r="N68" s="1">
        <f t="shared" ref="N68:N82" si="18">IF(K68&gt;0,$E$3,0)</f>
        <v>0</v>
      </c>
      <c r="O68" s="1">
        <f t="shared" ref="O68:O82" si="19">IF(AND(L68&gt;0,NOT(L68=L67)),$E$4,0)</f>
        <v>0</v>
      </c>
      <c r="P68" s="1">
        <f t="shared" ref="P68:P82" si="20">IF(AND(M68&gt;0,NOT(M68=M67)),$E$5,0)</f>
        <v>0</v>
      </c>
      <c r="Q68" s="1">
        <f t="shared" ref="Q68:Q82" si="21">SUM(N68:P68)</f>
        <v>0</v>
      </c>
    </row>
    <row r="69" spans="8:17" x14ac:dyDescent="0.25">
      <c r="H69" t="s">
        <v>206</v>
      </c>
      <c r="I69">
        <f t="shared" si="10"/>
        <v>21</v>
      </c>
      <c r="J69" t="str">
        <f>VLOOKUP(Table2[[#This Row],[Month]],MonthLookup!A:B,2,FALSE)</f>
        <v>September</v>
      </c>
      <c r="K69">
        <f t="shared" si="15"/>
        <v>0</v>
      </c>
      <c r="L69">
        <f t="shared" si="16"/>
        <v>-54</v>
      </c>
      <c r="M69">
        <f t="shared" si="17"/>
        <v>-54</v>
      </c>
      <c r="N69" s="1">
        <f t="shared" si="18"/>
        <v>0</v>
      </c>
      <c r="O69" s="1">
        <f t="shared" si="19"/>
        <v>0</v>
      </c>
      <c r="P69" s="1">
        <f t="shared" si="20"/>
        <v>0</v>
      </c>
      <c r="Q69" s="1">
        <f t="shared" si="21"/>
        <v>0</v>
      </c>
    </row>
    <row r="70" spans="8:17" x14ac:dyDescent="0.25">
      <c r="H70" t="s">
        <v>207</v>
      </c>
      <c r="I70">
        <f t="shared" si="10"/>
        <v>21</v>
      </c>
      <c r="J70" t="str">
        <f>VLOOKUP(Table2[[#This Row],[Month]],MonthLookup!A:B,2,FALSE)</f>
        <v>September</v>
      </c>
      <c r="K70">
        <f t="shared" ref="K70:K82" si="22">IF(NOT(K69=0),K69-1,0)</f>
        <v>0</v>
      </c>
      <c r="L70">
        <f t="shared" si="16"/>
        <v>-55</v>
      </c>
      <c r="M70">
        <f t="shared" si="17"/>
        <v>-55</v>
      </c>
      <c r="N70" s="1">
        <f t="shared" si="18"/>
        <v>0</v>
      </c>
      <c r="O70" s="1">
        <f t="shared" si="19"/>
        <v>0</v>
      </c>
      <c r="P70" s="1">
        <f t="shared" si="20"/>
        <v>0</v>
      </c>
      <c r="Q70" s="1">
        <f t="shared" si="21"/>
        <v>0</v>
      </c>
    </row>
    <row r="71" spans="8:17" x14ac:dyDescent="0.25">
      <c r="H71" t="s">
        <v>208</v>
      </c>
      <c r="I71">
        <f t="shared" si="10"/>
        <v>22</v>
      </c>
      <c r="J71" t="str">
        <f>VLOOKUP(Table2[[#This Row],[Month]],MonthLookup!A:B,2,FALSE)</f>
        <v>October</v>
      </c>
      <c r="K71">
        <f t="shared" si="22"/>
        <v>0</v>
      </c>
      <c r="L71">
        <f t="shared" si="16"/>
        <v>-56</v>
      </c>
      <c r="M71">
        <f t="shared" si="17"/>
        <v>-56</v>
      </c>
      <c r="N71" s="1">
        <f t="shared" si="18"/>
        <v>0</v>
      </c>
      <c r="O71" s="1">
        <f t="shared" si="19"/>
        <v>0</v>
      </c>
      <c r="P71" s="1">
        <f t="shared" si="20"/>
        <v>0</v>
      </c>
      <c r="Q71" s="1">
        <f t="shared" si="21"/>
        <v>0</v>
      </c>
    </row>
    <row r="72" spans="8:17" x14ac:dyDescent="0.25">
      <c r="H72" t="s">
        <v>209</v>
      </c>
      <c r="I72">
        <f t="shared" ref="I72:I82" si="23">I68+1</f>
        <v>22</v>
      </c>
      <c r="J72" t="str">
        <f>VLOOKUP(Table2[[#This Row],[Month]],MonthLookup!A:B,2,FALSE)</f>
        <v>October</v>
      </c>
      <c r="K72">
        <f t="shared" si="22"/>
        <v>0</v>
      </c>
      <c r="L72">
        <f t="shared" si="16"/>
        <v>-57</v>
      </c>
      <c r="M72">
        <f t="shared" si="17"/>
        <v>-57</v>
      </c>
      <c r="N72" s="1">
        <f t="shared" si="18"/>
        <v>0</v>
      </c>
      <c r="O72" s="1">
        <f t="shared" si="19"/>
        <v>0</v>
      </c>
      <c r="P72" s="1">
        <f t="shared" si="20"/>
        <v>0</v>
      </c>
      <c r="Q72" s="1">
        <f t="shared" si="21"/>
        <v>0</v>
      </c>
    </row>
    <row r="73" spans="8:17" x14ac:dyDescent="0.25">
      <c r="H73" t="s">
        <v>210</v>
      </c>
      <c r="I73">
        <f t="shared" si="23"/>
        <v>22</v>
      </c>
      <c r="J73" t="str">
        <f>VLOOKUP(Table2[[#This Row],[Month]],MonthLookup!A:B,2,FALSE)</f>
        <v>October</v>
      </c>
      <c r="K73">
        <f t="shared" si="22"/>
        <v>0</v>
      </c>
      <c r="L73">
        <f t="shared" si="16"/>
        <v>-58</v>
      </c>
      <c r="M73">
        <f t="shared" si="17"/>
        <v>-58</v>
      </c>
      <c r="N73" s="1">
        <f t="shared" si="18"/>
        <v>0</v>
      </c>
      <c r="O73" s="1">
        <f t="shared" si="19"/>
        <v>0</v>
      </c>
      <c r="P73" s="1">
        <f t="shared" si="20"/>
        <v>0</v>
      </c>
      <c r="Q73" s="1">
        <f t="shared" si="21"/>
        <v>0</v>
      </c>
    </row>
    <row r="74" spans="8:17" x14ac:dyDescent="0.25">
      <c r="H74" t="s">
        <v>211</v>
      </c>
      <c r="I74">
        <f t="shared" si="23"/>
        <v>22</v>
      </c>
      <c r="J74" t="str">
        <f>VLOOKUP(Table2[[#This Row],[Month]],MonthLookup!A:B,2,FALSE)</f>
        <v>October</v>
      </c>
      <c r="K74">
        <f t="shared" si="22"/>
        <v>0</v>
      </c>
      <c r="L74">
        <f t="shared" si="16"/>
        <v>-59</v>
      </c>
      <c r="M74">
        <f t="shared" si="17"/>
        <v>-59</v>
      </c>
      <c r="N74" s="1">
        <f t="shared" si="18"/>
        <v>0</v>
      </c>
      <c r="O74" s="1">
        <f t="shared" si="19"/>
        <v>0</v>
      </c>
      <c r="P74" s="1">
        <f t="shared" si="20"/>
        <v>0</v>
      </c>
      <c r="Q74" s="1">
        <f t="shared" si="21"/>
        <v>0</v>
      </c>
    </row>
    <row r="75" spans="8:17" x14ac:dyDescent="0.25">
      <c r="H75" t="s">
        <v>212</v>
      </c>
      <c r="I75">
        <f t="shared" si="23"/>
        <v>23</v>
      </c>
      <c r="J75" t="str">
        <f>VLOOKUP(Table2[[#This Row],[Month]],MonthLookup!A:B,2,FALSE)</f>
        <v>November</v>
      </c>
      <c r="K75">
        <f t="shared" si="22"/>
        <v>0</v>
      </c>
      <c r="L75">
        <f t="shared" si="16"/>
        <v>-60</v>
      </c>
      <c r="M75">
        <f t="shared" si="17"/>
        <v>-60</v>
      </c>
      <c r="N75" s="1">
        <f t="shared" si="18"/>
        <v>0</v>
      </c>
      <c r="O75" s="1">
        <f t="shared" si="19"/>
        <v>0</v>
      </c>
      <c r="P75" s="1">
        <f t="shared" si="20"/>
        <v>0</v>
      </c>
      <c r="Q75" s="1">
        <f t="shared" si="21"/>
        <v>0</v>
      </c>
    </row>
    <row r="76" spans="8:17" x14ac:dyDescent="0.25">
      <c r="H76" t="s">
        <v>213</v>
      </c>
      <c r="I76">
        <f t="shared" si="23"/>
        <v>23</v>
      </c>
      <c r="J76" t="str">
        <f>VLOOKUP(Table2[[#This Row],[Month]],MonthLookup!A:B,2,FALSE)</f>
        <v>November</v>
      </c>
      <c r="K76">
        <f t="shared" si="22"/>
        <v>0</v>
      </c>
      <c r="L76">
        <f t="shared" si="16"/>
        <v>-61</v>
      </c>
      <c r="M76">
        <f t="shared" si="17"/>
        <v>-61</v>
      </c>
      <c r="N76" s="1">
        <f t="shared" si="18"/>
        <v>0</v>
      </c>
      <c r="O76" s="1">
        <f t="shared" si="19"/>
        <v>0</v>
      </c>
      <c r="P76" s="1">
        <f t="shared" si="20"/>
        <v>0</v>
      </c>
      <c r="Q76" s="1">
        <f t="shared" si="21"/>
        <v>0</v>
      </c>
    </row>
    <row r="77" spans="8:17" x14ac:dyDescent="0.25">
      <c r="H77" t="s">
        <v>214</v>
      </c>
      <c r="I77">
        <f t="shared" si="23"/>
        <v>23</v>
      </c>
      <c r="J77" t="str">
        <f>VLOOKUP(Table2[[#This Row],[Month]],MonthLookup!A:B,2,FALSE)</f>
        <v>November</v>
      </c>
      <c r="K77">
        <f t="shared" si="22"/>
        <v>0</v>
      </c>
      <c r="L77">
        <f t="shared" si="16"/>
        <v>-62</v>
      </c>
      <c r="M77">
        <f t="shared" si="17"/>
        <v>-62</v>
      </c>
      <c r="N77" s="1">
        <f t="shared" si="18"/>
        <v>0</v>
      </c>
      <c r="O77" s="1">
        <f t="shared" si="19"/>
        <v>0</v>
      </c>
      <c r="P77" s="1">
        <f t="shared" si="20"/>
        <v>0</v>
      </c>
      <c r="Q77" s="1">
        <f t="shared" si="21"/>
        <v>0</v>
      </c>
    </row>
    <row r="78" spans="8:17" x14ac:dyDescent="0.25">
      <c r="H78" t="s">
        <v>215</v>
      </c>
      <c r="I78">
        <f t="shared" si="23"/>
        <v>23</v>
      </c>
      <c r="J78" t="str">
        <f>VLOOKUP(Table2[[#This Row],[Month]],MonthLookup!A:B,2,FALSE)</f>
        <v>November</v>
      </c>
      <c r="K78">
        <f t="shared" si="22"/>
        <v>0</v>
      </c>
      <c r="L78">
        <f t="shared" si="16"/>
        <v>-63</v>
      </c>
      <c r="M78">
        <f t="shared" si="17"/>
        <v>-63</v>
      </c>
      <c r="N78" s="1">
        <f t="shared" si="18"/>
        <v>0</v>
      </c>
      <c r="O78" s="1">
        <f t="shared" si="19"/>
        <v>0</v>
      </c>
      <c r="P78" s="1">
        <f t="shared" si="20"/>
        <v>0</v>
      </c>
      <c r="Q78" s="1">
        <f t="shared" si="21"/>
        <v>0</v>
      </c>
    </row>
    <row r="79" spans="8:17" x14ac:dyDescent="0.25">
      <c r="H79" t="s">
        <v>216</v>
      </c>
      <c r="I79">
        <f t="shared" si="23"/>
        <v>24</v>
      </c>
      <c r="J79" t="str">
        <f>VLOOKUP(Table2[[#This Row],[Month]],MonthLookup!A:B,2,FALSE)</f>
        <v>December</v>
      </c>
      <c r="K79">
        <f t="shared" si="22"/>
        <v>0</v>
      </c>
      <c r="L79">
        <f t="shared" si="16"/>
        <v>-64</v>
      </c>
      <c r="M79">
        <f t="shared" si="17"/>
        <v>-64</v>
      </c>
      <c r="N79" s="1">
        <f t="shared" si="18"/>
        <v>0</v>
      </c>
      <c r="O79" s="1">
        <f t="shared" si="19"/>
        <v>0</v>
      </c>
      <c r="P79" s="1">
        <f t="shared" si="20"/>
        <v>0</v>
      </c>
      <c r="Q79" s="1">
        <f t="shared" si="21"/>
        <v>0</v>
      </c>
    </row>
    <row r="80" spans="8:17" x14ac:dyDescent="0.25">
      <c r="H80" t="s">
        <v>217</v>
      </c>
      <c r="I80">
        <f t="shared" si="23"/>
        <v>24</v>
      </c>
      <c r="J80" t="str">
        <f>VLOOKUP(Table2[[#This Row],[Month]],MonthLookup!A:B,2,FALSE)</f>
        <v>December</v>
      </c>
      <c r="K80">
        <f t="shared" si="22"/>
        <v>0</v>
      </c>
      <c r="L80">
        <f t="shared" si="16"/>
        <v>-65</v>
      </c>
      <c r="M80">
        <f t="shared" si="17"/>
        <v>-65</v>
      </c>
      <c r="N80" s="1">
        <f t="shared" si="18"/>
        <v>0</v>
      </c>
      <c r="O80" s="1">
        <f t="shared" si="19"/>
        <v>0</v>
      </c>
      <c r="P80" s="1">
        <f t="shared" si="20"/>
        <v>0</v>
      </c>
      <c r="Q80" s="1">
        <f t="shared" si="21"/>
        <v>0</v>
      </c>
    </row>
    <row r="81" spans="8:17" x14ac:dyDescent="0.25">
      <c r="H81" t="s">
        <v>218</v>
      </c>
      <c r="I81">
        <f t="shared" si="23"/>
        <v>24</v>
      </c>
      <c r="J81" t="str">
        <f>VLOOKUP(Table2[[#This Row],[Month]],MonthLookup!A:B,2,FALSE)</f>
        <v>December</v>
      </c>
      <c r="K81">
        <f t="shared" si="22"/>
        <v>0</v>
      </c>
      <c r="L81">
        <f t="shared" si="16"/>
        <v>-66</v>
      </c>
      <c r="M81">
        <f t="shared" si="17"/>
        <v>-66</v>
      </c>
      <c r="N81" s="1">
        <f t="shared" si="18"/>
        <v>0</v>
      </c>
      <c r="O81" s="1">
        <f t="shared" si="19"/>
        <v>0</v>
      </c>
      <c r="P81" s="1">
        <f t="shared" si="20"/>
        <v>0</v>
      </c>
      <c r="Q81" s="1">
        <f t="shared" si="21"/>
        <v>0</v>
      </c>
    </row>
    <row r="82" spans="8:17" x14ac:dyDescent="0.25">
      <c r="H82" t="s">
        <v>219</v>
      </c>
      <c r="I82">
        <f t="shared" si="23"/>
        <v>24</v>
      </c>
      <c r="J82" t="str">
        <f>VLOOKUP(Table2[[#This Row],[Month]],MonthLookup!A:B,2,FALSE)</f>
        <v>December</v>
      </c>
      <c r="K82">
        <f t="shared" si="22"/>
        <v>0</v>
      </c>
      <c r="L82">
        <f t="shared" si="16"/>
        <v>-67</v>
      </c>
      <c r="M82">
        <f t="shared" si="17"/>
        <v>-67</v>
      </c>
      <c r="N82" s="1">
        <f t="shared" si="18"/>
        <v>0</v>
      </c>
      <c r="O82" s="1">
        <f t="shared" si="19"/>
        <v>0</v>
      </c>
      <c r="P82" s="1">
        <f t="shared" si="20"/>
        <v>0</v>
      </c>
      <c r="Q82" s="1">
        <f t="shared" si="21"/>
        <v>0</v>
      </c>
    </row>
    <row r="83" spans="8:17" x14ac:dyDescent="0.25">
      <c r="H83" t="s">
        <v>220</v>
      </c>
      <c r="I83">
        <v>90</v>
      </c>
      <c r="J83" t="s">
        <v>221</v>
      </c>
      <c r="K83">
        <f>IF(NOT(K82=0),K82-1,0)</f>
        <v>0</v>
      </c>
      <c r="L83">
        <f t="shared" si="16"/>
        <v>-68</v>
      </c>
      <c r="M83">
        <f t="shared" si="17"/>
        <v>-68</v>
      </c>
      <c r="N83" s="1">
        <f>IF(K83&gt;0,$E$3,0)</f>
        <v>0</v>
      </c>
      <c r="O83" s="1">
        <f>IF(AND(L83&gt;0,NOT(L83=L82)),$E$4,0)</f>
        <v>0</v>
      </c>
      <c r="P83" s="1">
        <f>IF(AND(M83&gt;0,NOT(M83=M82)),$E$5,0)</f>
        <v>0</v>
      </c>
      <c r="Q83" s="1">
        <f>D13</f>
        <v>0</v>
      </c>
    </row>
    <row r="84" spans="8:17" x14ac:dyDescent="0.25">
      <c r="H84" t="s">
        <v>222</v>
      </c>
      <c r="I84">
        <v>91</v>
      </c>
      <c r="J84" t="s">
        <v>223</v>
      </c>
      <c r="K84">
        <f t="shared" ref="K84:K86" si="24">IF(NOT(K83=0),K83-1,0)</f>
        <v>0</v>
      </c>
      <c r="L84">
        <f t="shared" ref="L84:L86" si="25">IF(K84=0,L83-1,$L$1)</f>
        <v>-69</v>
      </c>
      <c r="M84">
        <f t="shared" ref="M84:M86" si="26">IF(L84&lt;=0,M83-1,$M$1)</f>
        <v>-69</v>
      </c>
      <c r="N84" s="1">
        <f t="shared" ref="N84:N86" si="27">IF(K84&gt;0,$E$3,0)</f>
        <v>0</v>
      </c>
      <c r="O84" s="1">
        <f t="shared" ref="O84:O86" si="28">IF(AND(L84&gt;0,NOT(L84=L83)),$E$4,0)</f>
        <v>0</v>
      </c>
      <c r="P84" s="1">
        <f t="shared" ref="P84:P86" si="29">IF(AND(M84&gt;0,NOT(M84=M83)),$E$5,0)</f>
        <v>0</v>
      </c>
      <c r="Q84" s="1">
        <f>D14</f>
        <v>0</v>
      </c>
    </row>
    <row r="85" spans="8:17" x14ac:dyDescent="0.25">
      <c r="H85" t="s">
        <v>224</v>
      </c>
      <c r="I85">
        <v>92</v>
      </c>
      <c r="J85" t="s">
        <v>225</v>
      </c>
      <c r="K85">
        <f t="shared" si="24"/>
        <v>0</v>
      </c>
      <c r="L85">
        <f t="shared" si="25"/>
        <v>-70</v>
      </c>
      <c r="M85">
        <f t="shared" si="26"/>
        <v>-70</v>
      </c>
      <c r="N85" s="1">
        <f t="shared" si="27"/>
        <v>0</v>
      </c>
      <c r="O85" s="1">
        <f t="shared" si="28"/>
        <v>0</v>
      </c>
      <c r="P85" s="1">
        <f t="shared" si="29"/>
        <v>0</v>
      </c>
      <c r="Q85" s="1">
        <f>D15</f>
        <v>0</v>
      </c>
    </row>
    <row r="86" spans="8:17" x14ac:dyDescent="0.25">
      <c r="H86" t="s">
        <v>226</v>
      </c>
      <c r="I86">
        <v>93</v>
      </c>
      <c r="J86" t="s">
        <v>227</v>
      </c>
      <c r="K86">
        <f t="shared" si="24"/>
        <v>0</v>
      </c>
      <c r="L86">
        <f t="shared" si="25"/>
        <v>-71</v>
      </c>
      <c r="M86">
        <f t="shared" si="26"/>
        <v>-71</v>
      </c>
      <c r="N86" s="1">
        <f t="shared" si="27"/>
        <v>0</v>
      </c>
      <c r="O86" s="1">
        <f t="shared" si="28"/>
        <v>0</v>
      </c>
      <c r="P86" s="1">
        <f t="shared" si="29"/>
        <v>0</v>
      </c>
      <c r="Q86" s="1">
        <f>D16</f>
        <v>0</v>
      </c>
    </row>
  </sheetData>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150" zoomScaleNormal="150" zoomScalePageLayoutView="150" workbookViewId="0">
      <selection activeCell="D11" sqref="D11"/>
    </sheetView>
  </sheetViews>
  <sheetFormatPr defaultColWidth="8.85546875" defaultRowHeight="15" x14ac:dyDescent="0.25"/>
  <cols>
    <col min="1" max="1" width="6.85546875" customWidth="1"/>
    <col min="2" max="2" width="15.7109375" style="46"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67" t="s">
        <v>228</v>
      </c>
      <c r="B1" s="168"/>
      <c r="C1" s="168"/>
      <c r="D1" s="168"/>
      <c r="E1" s="168"/>
      <c r="F1" s="168"/>
      <c r="G1" s="169"/>
    </row>
    <row r="2" spans="1:7" ht="15.75" thickBot="1" x14ac:dyDescent="0.3">
      <c r="A2" s="50" t="s">
        <v>229</v>
      </c>
      <c r="B2" s="51" t="s">
        <v>230</v>
      </c>
      <c r="C2" s="51" t="s">
        <v>231</v>
      </c>
      <c r="D2" s="51" t="s">
        <v>232</v>
      </c>
      <c r="E2" s="51" t="s">
        <v>233</v>
      </c>
      <c r="F2" s="51" t="s">
        <v>234</v>
      </c>
      <c r="G2" s="52" t="s">
        <v>235</v>
      </c>
    </row>
    <row r="3" spans="1:7" ht="15.75" thickTop="1" x14ac:dyDescent="0.25">
      <c r="A3" s="22" t="s">
        <v>61</v>
      </c>
      <c r="B3" s="42">
        <v>125</v>
      </c>
      <c r="C3" s="38">
        <v>0.15</v>
      </c>
      <c r="D3" s="38"/>
      <c r="E3" s="38" t="s">
        <v>236</v>
      </c>
      <c r="F3" s="23" t="s">
        <v>237</v>
      </c>
      <c r="G3" s="24" t="s">
        <v>238</v>
      </c>
    </row>
    <row r="4" spans="1:7" x14ac:dyDescent="0.25">
      <c r="A4" s="25" t="s">
        <v>35</v>
      </c>
      <c r="B4" s="43">
        <v>150</v>
      </c>
      <c r="C4" s="39">
        <v>0.15</v>
      </c>
      <c r="D4" s="39"/>
      <c r="E4" s="39" t="s">
        <v>95</v>
      </c>
      <c r="F4" s="26" t="s">
        <v>239</v>
      </c>
      <c r="G4" s="27" t="s">
        <v>240</v>
      </c>
    </row>
    <row r="5" spans="1:7" x14ac:dyDescent="0.25">
      <c r="A5" s="25" t="s">
        <v>241</v>
      </c>
      <c r="B5" s="43">
        <v>150</v>
      </c>
      <c r="C5" s="39">
        <v>0.15</v>
      </c>
      <c r="D5" s="39"/>
      <c r="E5" s="39" t="s">
        <v>242</v>
      </c>
      <c r="F5" s="26" t="s">
        <v>243</v>
      </c>
      <c r="G5" s="27" t="s">
        <v>244</v>
      </c>
    </row>
    <row r="6" spans="1:7" x14ac:dyDescent="0.25">
      <c r="A6" s="25" t="s">
        <v>70</v>
      </c>
      <c r="B6" s="43">
        <v>150</v>
      </c>
      <c r="C6" s="39">
        <v>0.15</v>
      </c>
      <c r="D6" s="39"/>
      <c r="E6" s="39" t="s">
        <v>245</v>
      </c>
      <c r="F6" s="26" t="s">
        <v>246</v>
      </c>
      <c r="G6" s="27" t="s">
        <v>247</v>
      </c>
    </row>
    <row r="7" spans="1:7" x14ac:dyDescent="0.25">
      <c r="A7" s="25" t="s">
        <v>248</v>
      </c>
      <c r="B7" s="43">
        <v>175</v>
      </c>
      <c r="C7" s="39">
        <v>0.15</v>
      </c>
      <c r="D7" s="39"/>
      <c r="E7" s="39" t="s">
        <v>249</v>
      </c>
      <c r="F7" s="26" t="s">
        <v>250</v>
      </c>
      <c r="G7" s="27" t="s">
        <v>251</v>
      </c>
    </row>
    <row r="8" spans="1:7" x14ac:dyDescent="0.25">
      <c r="A8" s="25" t="s">
        <v>252</v>
      </c>
      <c r="B8" s="43">
        <v>175</v>
      </c>
      <c r="C8" s="39">
        <v>0.15</v>
      </c>
      <c r="D8" s="39"/>
      <c r="E8" s="39" t="s">
        <v>253</v>
      </c>
      <c r="F8" s="26" t="s">
        <v>254</v>
      </c>
      <c r="G8" s="27" t="s">
        <v>251</v>
      </c>
    </row>
    <row r="9" spans="1:7" x14ac:dyDescent="0.25">
      <c r="A9" s="25" t="s">
        <v>75</v>
      </c>
      <c r="B9" s="44">
        <v>20000</v>
      </c>
      <c r="C9" s="40">
        <v>0</v>
      </c>
      <c r="D9" s="40"/>
      <c r="E9" s="39" t="s">
        <v>96</v>
      </c>
      <c r="F9" s="26" t="s">
        <v>255</v>
      </c>
      <c r="G9" s="27" t="s">
        <v>256</v>
      </c>
    </row>
    <row r="10" spans="1:7" x14ac:dyDescent="0.25">
      <c r="A10" s="25" t="s">
        <v>27</v>
      </c>
      <c r="B10" s="44">
        <v>17100</v>
      </c>
      <c r="C10" s="40">
        <v>0</v>
      </c>
      <c r="D10" s="40"/>
      <c r="E10" s="39" t="s">
        <v>96</v>
      </c>
      <c r="F10" s="26" t="s">
        <v>257</v>
      </c>
      <c r="G10" s="27" t="s">
        <v>256</v>
      </c>
    </row>
    <row r="11" spans="1:7" x14ac:dyDescent="0.25">
      <c r="A11" s="25" t="s">
        <v>258</v>
      </c>
      <c r="B11" s="44">
        <v>150</v>
      </c>
      <c r="C11" s="40">
        <v>0.15</v>
      </c>
      <c r="D11" s="40">
        <v>0.15</v>
      </c>
      <c r="E11" s="39" t="s">
        <v>259</v>
      </c>
      <c r="F11" s="26" t="s">
        <v>260</v>
      </c>
      <c r="G11" s="27" t="s">
        <v>261</v>
      </c>
    </row>
    <row r="12" spans="1:7" x14ac:dyDescent="0.25">
      <c r="A12" s="25" t="s">
        <v>54</v>
      </c>
      <c r="B12" s="44">
        <v>125</v>
      </c>
      <c r="C12" s="40">
        <v>0</v>
      </c>
      <c r="D12" s="40">
        <v>0.2</v>
      </c>
      <c r="E12" s="40" t="s">
        <v>53</v>
      </c>
      <c r="F12" s="26" t="s">
        <v>262</v>
      </c>
      <c r="G12" s="27" t="s">
        <v>263</v>
      </c>
    </row>
    <row r="13" spans="1:7" x14ac:dyDescent="0.25">
      <c r="A13" s="25" t="s">
        <v>48</v>
      </c>
      <c r="B13" s="44">
        <v>150</v>
      </c>
      <c r="C13" s="40">
        <v>0</v>
      </c>
      <c r="D13" s="40">
        <v>0.15</v>
      </c>
      <c r="E13" s="40" t="s">
        <v>97</v>
      </c>
      <c r="F13" s="26" t="s">
        <v>264</v>
      </c>
      <c r="G13" s="27" t="s">
        <v>261</v>
      </c>
    </row>
    <row r="14" spans="1:7" x14ac:dyDescent="0.25">
      <c r="A14" s="25" t="s">
        <v>51</v>
      </c>
      <c r="B14" s="44">
        <v>150</v>
      </c>
      <c r="C14" s="40">
        <v>0</v>
      </c>
      <c r="D14" s="40">
        <v>0.05</v>
      </c>
      <c r="E14" s="40" t="s">
        <v>50</v>
      </c>
      <c r="F14" s="26" t="s">
        <v>265</v>
      </c>
      <c r="G14" s="27" t="s">
        <v>238</v>
      </c>
    </row>
    <row r="15" spans="1:7" x14ac:dyDescent="0.25">
      <c r="A15" s="25" t="s">
        <v>266</v>
      </c>
      <c r="B15" s="43">
        <v>2500</v>
      </c>
      <c r="C15" s="39">
        <v>0</v>
      </c>
      <c r="D15" s="40"/>
      <c r="E15" s="47" t="s">
        <v>96</v>
      </c>
      <c r="F15" s="26" t="s">
        <v>267</v>
      </c>
      <c r="G15" s="27" t="s">
        <v>256</v>
      </c>
    </row>
    <row r="16" spans="1:7" x14ac:dyDescent="0.25">
      <c r="A16" s="25" t="s">
        <v>268</v>
      </c>
      <c r="B16" s="43">
        <v>5000</v>
      </c>
      <c r="C16" s="39">
        <v>0</v>
      </c>
      <c r="D16" s="40"/>
      <c r="E16" s="47" t="s">
        <v>96</v>
      </c>
      <c r="F16" s="26" t="s">
        <v>269</v>
      </c>
      <c r="G16" s="27" t="s">
        <v>256</v>
      </c>
    </row>
    <row r="17" spans="1:7" x14ac:dyDescent="0.25">
      <c r="A17" s="25" t="s">
        <v>270</v>
      </c>
      <c r="B17" s="44">
        <v>5000</v>
      </c>
      <c r="C17" s="39">
        <v>0</v>
      </c>
      <c r="D17" s="40"/>
      <c r="E17" s="47" t="s">
        <v>96</v>
      </c>
      <c r="F17" s="26" t="s">
        <v>271</v>
      </c>
      <c r="G17" s="27" t="s">
        <v>256</v>
      </c>
    </row>
    <row r="18" spans="1:7" ht="15.75" thickBot="1" x14ac:dyDescent="0.3">
      <c r="A18" s="28" t="s">
        <v>272</v>
      </c>
      <c r="B18" s="45">
        <v>125</v>
      </c>
      <c r="C18" s="41">
        <v>0.15</v>
      </c>
      <c r="D18" s="48"/>
      <c r="E18" s="48" t="s">
        <v>273</v>
      </c>
      <c r="F18" s="29" t="s">
        <v>274</v>
      </c>
      <c r="G18" s="30" t="s">
        <v>240</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11d3d6d-3427-4418-a21a-bad25d0ad36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01D56C0332ED42A817F96E8BA2B823" ma:contentTypeVersion="11" ma:contentTypeDescription="Create a new document." ma:contentTypeScope="" ma:versionID="0b17e2d7fbccb116b84e3625e746169f">
  <xsd:schema xmlns:xsd="http://www.w3.org/2001/XMLSchema" xmlns:xs="http://www.w3.org/2001/XMLSchema" xmlns:p="http://schemas.microsoft.com/office/2006/metadata/properties" xmlns:ns2="6b8a278f-e63a-4531-a962-5b158848db8c" xmlns:ns3="f11d3d6d-3427-4418-a21a-bad25d0ad364" targetNamespace="http://schemas.microsoft.com/office/2006/metadata/properties" ma:root="true" ma:fieldsID="b41601e7bcffc9b4e014a77015821f54" ns2:_="" ns3:_="">
    <xsd:import namespace="6b8a278f-e63a-4531-a962-5b158848db8c"/>
    <xsd:import namespace="f11d3d6d-3427-4418-a21a-bad25d0ad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a278f-e63a-4531-a962-5b158848d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1d3d6d-3427-4418-a21a-bad25d0ad3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94502-A7FF-41E0-8EC2-DA149D2C51F8}">
  <ds:schemaRefs>
    <ds:schemaRef ds:uri="http://schemas.microsoft.com/sharepoint/v3/contenttype/forms"/>
  </ds:schemaRefs>
</ds:datastoreItem>
</file>

<file path=customXml/itemProps2.xml><?xml version="1.0" encoding="utf-8"?>
<ds:datastoreItem xmlns:ds="http://schemas.openxmlformats.org/officeDocument/2006/customXml" ds:itemID="{50DA82FA-2021-4074-8BF2-D2F9C0200BC5}">
  <ds:schemaRefs>
    <ds:schemaRef ds:uri="http://www.w3.org/XML/1998/namespace"/>
    <ds:schemaRef ds:uri="http://schemas.microsoft.com/office/infopath/2007/PartnerControls"/>
    <ds:schemaRef ds:uri="http://schemas.microsoft.com/office/2006/metadata/properties"/>
    <ds:schemaRef ds:uri="6b8a278f-e63a-4531-a962-5b158848db8c"/>
    <ds:schemaRef ds:uri="http://purl.org/dc/terms/"/>
    <ds:schemaRef ds:uri="http://schemas.openxmlformats.org/package/2006/metadata/core-properties"/>
    <ds:schemaRef ds:uri="http://purl.org/dc/dcmitype/"/>
    <ds:schemaRef ds:uri="http://schemas.microsoft.com/office/2006/documentManagement/types"/>
    <ds:schemaRef ds:uri="f11d3d6d-3427-4418-a21a-bad25d0ad364"/>
    <ds:schemaRef ds:uri="http://purl.org/dc/elements/1.1/"/>
  </ds:schemaRefs>
</ds:datastoreItem>
</file>

<file path=customXml/itemProps3.xml><?xml version="1.0" encoding="utf-8"?>
<ds:datastoreItem xmlns:ds="http://schemas.openxmlformats.org/officeDocument/2006/customXml" ds:itemID="{A40D8E53-4947-462A-A077-B357D3661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a278f-e63a-4531-a962-5b158848db8c"/>
    <ds:schemaRef ds:uri="f11d3d6d-3427-4418-a21a-bad25d0ad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Lori Kulikowski</cp:lastModifiedBy>
  <cp:revision/>
  <dcterms:created xsi:type="dcterms:W3CDTF">2016-02-21T17:02:00Z</dcterms:created>
  <dcterms:modified xsi:type="dcterms:W3CDTF">2022-05-17T19:56:55Z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0x010100DD01D56C0332ED42A817F96E8BA2B823</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