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hidePivotFieldList="1" autoCompressPictures="0"/>
  <mc:AlternateContent xmlns:mc="http://schemas.openxmlformats.org/markup-compatibility/2006">
    <mc:Choice Requires="x15">
      <x15ac:absPath xmlns:x15ac="http://schemas.microsoft.com/office/spreadsheetml/2010/11/ac" url="https://clarityventures-my.sharepoint.com/personal/kyle_sanford_claritymis_com/Documents/Desktop/Estimation Templates/"/>
    </mc:Choice>
  </mc:AlternateContent>
  <xr:revisionPtr revIDLastSave="328" documentId="8_{EA804817-56BE-4803-8FBA-26B324AE6065}" xr6:coauthVersionLast="47" xr6:coauthVersionMax="47" xr10:uidLastSave="{F3A2A4B6-984E-4678-AC70-25C56507D5F7}"/>
  <bookViews>
    <workbookView xWindow="28680" yWindow="-120" windowWidth="29040" windowHeight="16440" xr2:uid="{00000000-000D-0000-FFFF-FFFF00000000}"/>
  </bookViews>
  <sheets>
    <sheet name="Project Estimate" sheetId="2" r:id="rId1"/>
    <sheet name="Summary" sheetId="3" r:id="rId2"/>
    <sheet name="Draw Schedule" sheetId="5" r:id="rId3"/>
    <sheet name="MonthLookup" sheetId="6" state="hidden" r:id="rId4"/>
    <sheet name="Draw Schedule Config" sheetId="4" r:id="rId5"/>
    <sheet name="Configuration Table" sheetId="1" r:id="rId6"/>
  </sheets>
  <calcPr calcId="191028"/>
  <pivotCaches>
    <pivotCache cacheId="2" r:id="rId7"/>
    <pivotCache cacheId="3"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44" i="2" l="1"/>
  <c r="K43" i="2"/>
  <c r="G44" i="2"/>
  <c r="G43" i="2"/>
  <c r="K40" i="2"/>
  <c r="K39" i="2"/>
  <c r="E28" i="2"/>
  <c r="G28" i="2" s="1"/>
  <c r="F28" i="2"/>
  <c r="X28" i="2" s="1"/>
  <c r="H28" i="2"/>
  <c r="I28" i="2"/>
  <c r="J28" i="2"/>
  <c r="N28" i="2"/>
  <c r="R28" i="2"/>
  <c r="V28" i="2"/>
  <c r="G40" i="2"/>
  <c r="G39" i="2"/>
  <c r="G9" i="2"/>
  <c r="G6" i="2"/>
  <c r="F6" i="2"/>
  <c r="P6" i="2" s="1"/>
  <c r="H6" i="2"/>
  <c r="I6" i="2"/>
  <c r="J6" i="2"/>
  <c r="N6" i="2"/>
  <c r="R6" i="2"/>
  <c r="V6" i="2"/>
  <c r="E26" i="2"/>
  <c r="G26" i="2" s="1"/>
  <c r="E27" i="2"/>
  <c r="G27" i="2" s="1"/>
  <c r="E29" i="2"/>
  <c r="G29" i="2" s="1"/>
  <c r="E30" i="2"/>
  <c r="G30" i="2" s="1"/>
  <c r="E22" i="2"/>
  <c r="P8" i="2"/>
  <c r="U8" i="2"/>
  <c r="J31" i="2"/>
  <c r="I31" i="2"/>
  <c r="H31" i="2"/>
  <c r="F22" i="2"/>
  <c r="T22" i="2" s="1"/>
  <c r="H22" i="2"/>
  <c r="I22" i="2"/>
  <c r="J22" i="2"/>
  <c r="N22" i="2"/>
  <c r="R22" i="2"/>
  <c r="V22" i="2"/>
  <c r="E23" i="2"/>
  <c r="S23" i="2" s="1"/>
  <c r="F23" i="2"/>
  <c r="T23" i="2" s="1"/>
  <c r="H23" i="2"/>
  <c r="I23" i="2"/>
  <c r="J23" i="2"/>
  <c r="N23" i="2"/>
  <c r="R23" i="2"/>
  <c r="V23" i="2"/>
  <c r="E24" i="2"/>
  <c r="S24" i="2" s="1"/>
  <c r="F24" i="2"/>
  <c r="P24" i="2" s="1"/>
  <c r="H24" i="2"/>
  <c r="I24" i="2"/>
  <c r="J24" i="2"/>
  <c r="N24" i="2"/>
  <c r="R24" i="2"/>
  <c r="V24" i="2"/>
  <c r="E25" i="2"/>
  <c r="G25" i="2" s="1"/>
  <c r="F25" i="2"/>
  <c r="P25" i="2" s="1"/>
  <c r="H25" i="2"/>
  <c r="I25" i="2"/>
  <c r="J25" i="2"/>
  <c r="N25" i="2"/>
  <c r="R25" i="2"/>
  <c r="V25" i="2"/>
  <c r="S8" i="2"/>
  <c r="S9" i="2"/>
  <c r="S10" i="2"/>
  <c r="S16" i="2"/>
  <c r="G17" i="2"/>
  <c r="G18" i="2"/>
  <c r="G19" i="2"/>
  <c r="G20" i="2"/>
  <c r="G21" i="2"/>
  <c r="F9" i="2"/>
  <c r="P9" i="2" s="1"/>
  <c r="F10" i="2"/>
  <c r="P10" i="2" s="1"/>
  <c r="F16" i="2"/>
  <c r="P16" i="2" s="1"/>
  <c r="F17" i="2"/>
  <c r="T17" i="2" s="1"/>
  <c r="F18" i="2"/>
  <c r="T18" i="2" s="1"/>
  <c r="F19" i="2"/>
  <c r="X19" i="2" s="1"/>
  <c r="F20" i="2"/>
  <c r="T20" i="2" s="1"/>
  <c r="F21" i="2"/>
  <c r="T21" i="2" s="1"/>
  <c r="F26" i="2"/>
  <c r="X26" i="2" s="1"/>
  <c r="F27" i="2"/>
  <c r="T27" i="2" s="1"/>
  <c r="F29" i="2"/>
  <c r="T29" i="2" s="1"/>
  <c r="F30" i="2"/>
  <c r="X30" i="2" s="1"/>
  <c r="H8" i="2"/>
  <c r="H9" i="2"/>
  <c r="H10" i="2"/>
  <c r="H16" i="2"/>
  <c r="H17" i="2"/>
  <c r="H18" i="2"/>
  <c r="H19" i="2"/>
  <c r="H20" i="2"/>
  <c r="H21" i="2"/>
  <c r="H26" i="2"/>
  <c r="H27" i="2"/>
  <c r="H29" i="2"/>
  <c r="H30" i="2"/>
  <c r="I8" i="2"/>
  <c r="I9" i="2"/>
  <c r="I10" i="2"/>
  <c r="I16" i="2"/>
  <c r="I17" i="2"/>
  <c r="I18" i="2"/>
  <c r="I19" i="2"/>
  <c r="I20" i="2"/>
  <c r="I21" i="2"/>
  <c r="I26" i="2"/>
  <c r="I27" i="2"/>
  <c r="I29" i="2"/>
  <c r="I30" i="2"/>
  <c r="J8" i="2"/>
  <c r="J9" i="2"/>
  <c r="J10" i="2"/>
  <c r="J16" i="2"/>
  <c r="J17" i="2"/>
  <c r="J18" i="2"/>
  <c r="J19" i="2"/>
  <c r="J20" i="2"/>
  <c r="J21" i="2"/>
  <c r="J26" i="2"/>
  <c r="J27" i="2"/>
  <c r="J29" i="2"/>
  <c r="J30" i="2"/>
  <c r="N8" i="2"/>
  <c r="N9" i="2"/>
  <c r="N10" i="2"/>
  <c r="N16" i="2"/>
  <c r="N17" i="2"/>
  <c r="N18" i="2"/>
  <c r="N19" i="2"/>
  <c r="N20" i="2"/>
  <c r="N21" i="2"/>
  <c r="N26" i="2"/>
  <c r="N27" i="2"/>
  <c r="N29" i="2"/>
  <c r="N30" i="2"/>
  <c r="O18" i="2"/>
  <c r="O19" i="2"/>
  <c r="R8" i="2"/>
  <c r="R9" i="2"/>
  <c r="R10" i="2"/>
  <c r="R16" i="2"/>
  <c r="R17" i="2"/>
  <c r="R18" i="2"/>
  <c r="R19" i="2"/>
  <c r="R20" i="2"/>
  <c r="R21" i="2"/>
  <c r="R26" i="2"/>
  <c r="R27" i="2"/>
  <c r="R29" i="2"/>
  <c r="R30" i="2"/>
  <c r="S18" i="2"/>
  <c r="S19" i="2"/>
  <c r="V8" i="2"/>
  <c r="V9" i="2"/>
  <c r="V10" i="2"/>
  <c r="V16" i="2"/>
  <c r="V17" i="2"/>
  <c r="V18" i="2"/>
  <c r="V19" i="2"/>
  <c r="V20" i="2"/>
  <c r="V21" i="2"/>
  <c r="V26" i="2"/>
  <c r="V27" i="2"/>
  <c r="V29" i="2"/>
  <c r="V30" i="2"/>
  <c r="W18" i="2"/>
  <c r="W19" i="2"/>
  <c r="O11" i="2"/>
  <c r="F11" i="2"/>
  <c r="P11" i="2" s="1"/>
  <c r="H11" i="2"/>
  <c r="I11" i="2"/>
  <c r="J11" i="2"/>
  <c r="N11" i="2"/>
  <c r="R11" i="2"/>
  <c r="V11" i="2"/>
  <c r="W28" i="2" l="1"/>
  <c r="S28" i="2"/>
  <c r="Y28" i="2"/>
  <c r="Q28" i="2"/>
  <c r="U28" i="2"/>
  <c r="T28" i="2"/>
  <c r="P28" i="2"/>
  <c r="O28" i="2"/>
  <c r="W22" i="2"/>
  <c r="W6" i="2"/>
  <c r="X6" i="2"/>
  <c r="T6" i="2"/>
  <c r="S6" i="2"/>
  <c r="Y6" i="2"/>
  <c r="Q6" i="2"/>
  <c r="U6" i="2"/>
  <c r="O6" i="2"/>
  <c r="Q8" i="2"/>
  <c r="X29" i="2"/>
  <c r="W30" i="2"/>
  <c r="W27" i="2"/>
  <c r="W26" i="2"/>
  <c r="O26" i="2"/>
  <c r="X17" i="2"/>
  <c r="X10" i="2"/>
  <c r="X27" i="2"/>
  <c r="S27" i="2"/>
  <c r="S26" i="2"/>
  <c r="P27" i="2"/>
  <c r="T16" i="2"/>
  <c r="P17" i="2"/>
  <c r="Q9" i="2"/>
  <c r="O8" i="2"/>
  <c r="O9" i="2"/>
  <c r="W9" i="2"/>
  <c r="W8" i="2"/>
  <c r="O30" i="2"/>
  <c r="T30" i="2"/>
  <c r="S30" i="2"/>
  <c r="P30" i="2"/>
  <c r="S17" i="2"/>
  <c r="W29" i="2"/>
  <c r="O29" i="2"/>
  <c r="O27" i="2"/>
  <c r="P23" i="2"/>
  <c r="S29" i="2"/>
  <c r="O23" i="2"/>
  <c r="X24" i="2"/>
  <c r="O24" i="2"/>
  <c r="X23" i="2"/>
  <c r="W23" i="2"/>
  <c r="P22" i="2"/>
  <c r="S22" i="2"/>
  <c r="O22" i="2"/>
  <c r="G23" i="2"/>
  <c r="Y23" i="2" s="1"/>
  <c r="W25" i="2"/>
  <c r="X22" i="2"/>
  <c r="Q25" i="2"/>
  <c r="U25" i="2"/>
  <c r="Y25" i="2"/>
  <c r="P19" i="2"/>
  <c r="X25" i="2"/>
  <c r="P20" i="2"/>
  <c r="W17" i="2"/>
  <c r="W10" i="2"/>
  <c r="P18" i="2"/>
  <c r="T25" i="2"/>
  <c r="G24" i="2"/>
  <c r="S25" i="2"/>
  <c r="W24" i="2"/>
  <c r="O17" i="2"/>
  <c r="G22" i="2"/>
  <c r="O25" i="2"/>
  <c r="X20" i="2"/>
  <c r="T24" i="2"/>
  <c r="X18" i="2"/>
  <c r="T19" i="2"/>
  <c r="G16" i="2"/>
  <c r="Q16" i="2" s="1"/>
  <c r="G10" i="2"/>
  <c r="Q10" i="2" s="1"/>
  <c r="P29" i="2"/>
  <c r="O20" i="2"/>
  <c r="S20" i="2"/>
  <c r="P26" i="2"/>
  <c r="T26" i="2"/>
  <c r="W20" i="2"/>
  <c r="X21" i="2"/>
  <c r="O21" i="2"/>
  <c r="S21" i="2"/>
  <c r="W21" i="2"/>
  <c r="Y21" i="2"/>
  <c r="U21" i="2"/>
  <c r="Q21" i="2"/>
  <c r="Q20" i="2"/>
  <c r="Y20" i="2"/>
  <c r="U20" i="2"/>
  <c r="U27" i="2"/>
  <c r="Y27" i="2"/>
  <c r="U26" i="2"/>
  <c r="Q26" i="2"/>
  <c r="Y26" i="2"/>
  <c r="W16" i="2"/>
  <c r="O16" i="2"/>
  <c r="X16" i="2"/>
  <c r="O10" i="2"/>
  <c r="X8" i="2"/>
  <c r="Y8" i="2"/>
  <c r="T10" i="2"/>
  <c r="T9" i="2"/>
  <c r="X9" i="2"/>
  <c r="T8" i="2"/>
  <c r="U29" i="2"/>
  <c r="Q29" i="2"/>
  <c r="Y29" i="2"/>
  <c r="U30" i="2"/>
  <c r="Y30" i="2"/>
  <c r="Q30" i="2"/>
  <c r="Y19" i="2"/>
  <c r="Q19" i="2"/>
  <c r="U19" i="2"/>
  <c r="Y18" i="2"/>
  <c r="Q18" i="2"/>
  <c r="U18" i="2"/>
  <c r="U17" i="2"/>
  <c r="Q17" i="2"/>
  <c r="Y17" i="2"/>
  <c r="Q27" i="2"/>
  <c r="P21" i="2"/>
  <c r="T11" i="2"/>
  <c r="X11" i="2"/>
  <c r="W11" i="2"/>
  <c r="S11" i="2"/>
  <c r="G11" i="2"/>
  <c r="Y11" i="2" s="1"/>
  <c r="Y9" i="2" l="1"/>
  <c r="U9" i="2"/>
  <c r="U10" i="2"/>
  <c r="U23" i="2"/>
  <c r="Q23" i="2"/>
  <c r="Q24" i="2"/>
  <c r="U24" i="2"/>
  <c r="Y24" i="2"/>
  <c r="U22" i="2"/>
  <c r="Y22" i="2"/>
  <c r="Q22" i="2"/>
  <c r="Y10" i="2"/>
  <c r="U16" i="2"/>
  <c r="Y16" i="2"/>
  <c r="Q11" i="2"/>
  <c r="U11" i="2"/>
  <c r="O7" i="2" l="1"/>
  <c r="F7" i="2"/>
  <c r="X7" i="2" s="1"/>
  <c r="H7" i="2"/>
  <c r="I7" i="2"/>
  <c r="J7" i="2"/>
  <c r="N7" i="2"/>
  <c r="R7" i="2"/>
  <c r="V7" i="2"/>
  <c r="G15" i="2"/>
  <c r="Q15" i="2" s="1"/>
  <c r="F15" i="2"/>
  <c r="T15" i="2" s="1"/>
  <c r="H15" i="2"/>
  <c r="I15" i="2"/>
  <c r="J15" i="2"/>
  <c r="N15" i="2"/>
  <c r="R15" i="2"/>
  <c r="V15" i="2"/>
  <c r="G4" i="2"/>
  <c r="W5" i="2"/>
  <c r="F4" i="2"/>
  <c r="F5" i="2"/>
  <c r="T5" i="2" s="1"/>
  <c r="H4" i="2"/>
  <c r="H5" i="2"/>
  <c r="I4" i="2"/>
  <c r="I5" i="2"/>
  <c r="J4" i="2"/>
  <c r="J5" i="2"/>
  <c r="N4" i="2"/>
  <c r="N5" i="2"/>
  <c r="R4" i="2"/>
  <c r="R5" i="2"/>
  <c r="V4" i="2"/>
  <c r="V5" i="2"/>
  <c r="S12" i="2"/>
  <c r="F12" i="2"/>
  <c r="T12" i="2" s="1"/>
  <c r="H12" i="2"/>
  <c r="I12" i="2"/>
  <c r="J12" i="2"/>
  <c r="N12" i="2"/>
  <c r="R12" i="2"/>
  <c r="V12" i="2"/>
  <c r="P3" i="2"/>
  <c r="F13" i="2"/>
  <c r="T13" i="2" s="1"/>
  <c r="F14" i="2"/>
  <c r="T14" i="2" s="1"/>
  <c r="O3" i="2"/>
  <c r="G13" i="2"/>
  <c r="G14" i="2"/>
  <c r="Y14" i="2" s="1"/>
  <c r="H3" i="2"/>
  <c r="H13" i="2"/>
  <c r="H14" i="2"/>
  <c r="H32" i="2"/>
  <c r="H33" i="2"/>
  <c r="I3" i="2"/>
  <c r="I13" i="2"/>
  <c r="I14" i="2"/>
  <c r="I32" i="2"/>
  <c r="I33" i="2"/>
  <c r="J3" i="2"/>
  <c r="J13" i="2"/>
  <c r="J14" i="2"/>
  <c r="J32" i="2"/>
  <c r="J33" i="2"/>
  <c r="N3" i="2"/>
  <c r="N13" i="2"/>
  <c r="N14" i="2"/>
  <c r="O14" i="2"/>
  <c r="R3" i="2"/>
  <c r="R13" i="2"/>
  <c r="R14" i="2"/>
  <c r="S14" i="2"/>
  <c r="V3" i="2"/>
  <c r="V13" i="2"/>
  <c r="V14" i="2"/>
  <c r="W14" i="2"/>
  <c r="J44" i="2"/>
  <c r="I44" i="2"/>
  <c r="H44" i="2"/>
  <c r="J43" i="2"/>
  <c r="I43" i="2"/>
  <c r="H43" i="2"/>
  <c r="H40" i="2"/>
  <c r="I40" i="2"/>
  <c r="J40" i="2"/>
  <c r="H39" i="2"/>
  <c r="I39" i="2"/>
  <c r="J39" i="2"/>
  <c r="I4" i="4"/>
  <c r="I5" i="4"/>
  <c r="I9" i="4" s="1"/>
  <c r="I6" i="4"/>
  <c r="I10" i="4" s="1"/>
  <c r="I14" i="4" s="1"/>
  <c r="I18" i="4" s="1"/>
  <c r="I22" i="4" s="1"/>
  <c r="I3" i="4"/>
  <c r="I7" i="4" s="1"/>
  <c r="B13" i="4"/>
  <c r="B14" i="4" s="1"/>
  <c r="B15" i="4" s="1"/>
  <c r="B16" i="4" s="1"/>
  <c r="D16" i="4" s="1"/>
  <c r="Q86" i="4" s="1"/>
  <c r="M1" i="4"/>
  <c r="L1" i="4"/>
  <c r="K1" i="4"/>
  <c r="K3" i="4" s="1"/>
  <c r="K4" i="4" s="1"/>
  <c r="U1" i="5"/>
  <c r="E11" i="4"/>
  <c r="D5" i="4"/>
  <c r="D4" i="4"/>
  <c r="D3" i="4"/>
  <c r="U4" i="2" l="1"/>
  <c r="D31" i="2"/>
  <c r="E3" i="4"/>
  <c r="N3" i="4" s="1"/>
  <c r="E4" i="4"/>
  <c r="E5" i="4"/>
  <c r="J5" i="4"/>
  <c r="J6" i="4"/>
  <c r="J3" i="4"/>
  <c r="J10" i="4"/>
  <c r="J7" i="4"/>
  <c r="I11" i="4"/>
  <c r="J14" i="4"/>
  <c r="X3" i="2"/>
  <c r="T3" i="2"/>
  <c r="X12" i="2"/>
  <c r="W4" i="2"/>
  <c r="P12" i="2"/>
  <c r="S4" i="2"/>
  <c r="D14" i="4"/>
  <c r="Q84" i="4" s="1"/>
  <c r="D15" i="4"/>
  <c r="Q85" i="4" s="1"/>
  <c r="W3" i="2"/>
  <c r="S5" i="2"/>
  <c r="G5" i="2"/>
  <c r="O5" i="2"/>
  <c r="P5" i="2"/>
  <c r="S3" i="2"/>
  <c r="P13" i="2"/>
  <c r="S7" i="2"/>
  <c r="W13" i="2"/>
  <c r="U3" i="2"/>
  <c r="O15" i="2"/>
  <c r="P7" i="2"/>
  <c r="T7" i="2"/>
  <c r="P14" i="2"/>
  <c r="X14" i="2"/>
  <c r="X13" i="2"/>
  <c r="S13" i="2"/>
  <c r="O13" i="2"/>
  <c r="O4" i="2"/>
  <c r="X15" i="2"/>
  <c r="W15" i="2"/>
  <c r="D32" i="2"/>
  <c r="R32" i="2" s="1"/>
  <c r="X5" i="2"/>
  <c r="S15" i="2"/>
  <c r="P15" i="2"/>
  <c r="C13" i="4"/>
  <c r="D13" i="4" s="1"/>
  <c r="Q83" i="4" s="1"/>
  <c r="C16" i="4"/>
  <c r="C15" i="4"/>
  <c r="C14" i="4"/>
  <c r="U2" i="5"/>
  <c r="U3" i="5" s="1"/>
  <c r="U4" i="5" s="1"/>
  <c r="A1" i="5" s="1"/>
  <c r="K5" i="4"/>
  <c r="J22" i="4"/>
  <c r="I26" i="4"/>
  <c r="L3" i="4"/>
  <c r="L4" i="4" s="1"/>
  <c r="I13" i="4"/>
  <c r="J9" i="4"/>
  <c r="J18" i="4"/>
  <c r="J4" i="4"/>
  <c r="I8" i="4"/>
  <c r="Q14" i="2"/>
  <c r="U14" i="2"/>
  <c r="Q13" i="2"/>
  <c r="Y13" i="2"/>
  <c r="U13" i="2"/>
  <c r="G12" i="2"/>
  <c r="Q4" i="2"/>
  <c r="T4" i="2"/>
  <c r="P4" i="2"/>
  <c r="X4" i="2"/>
  <c r="Y4" i="2"/>
  <c r="O12" i="2"/>
  <c r="W12" i="2"/>
  <c r="U15" i="2"/>
  <c r="G7" i="2"/>
  <c r="Y15" i="2"/>
  <c r="W7" i="2"/>
  <c r="E31" i="2" l="1"/>
  <c r="F31" i="2"/>
  <c r="N31" i="2"/>
  <c r="R31" i="2"/>
  <c r="V31" i="2"/>
  <c r="I15" i="4"/>
  <c r="J11" i="4"/>
  <c r="Y3" i="2"/>
  <c r="Q3" i="2"/>
  <c r="N4" i="4"/>
  <c r="Q5" i="2"/>
  <c r="U5" i="2"/>
  <c r="Y5" i="2"/>
  <c r="F32" i="2"/>
  <c r="X32" i="2" s="1"/>
  <c r="E32" i="2"/>
  <c r="N32" i="2"/>
  <c r="V32" i="2"/>
  <c r="D33" i="2"/>
  <c r="D34" i="2" s="1"/>
  <c r="Q7" i="2"/>
  <c r="Y7" i="2"/>
  <c r="U7" i="2"/>
  <c r="I30" i="4"/>
  <c r="J26" i="4"/>
  <c r="I17" i="4"/>
  <c r="J13" i="4"/>
  <c r="U12" i="2"/>
  <c r="Q12" i="2"/>
  <c r="Y12" i="2"/>
  <c r="M3" i="4"/>
  <c r="I12" i="4"/>
  <c r="J8" i="4"/>
  <c r="M4" i="4"/>
  <c r="N5" i="4"/>
  <c r="K6" i="4"/>
  <c r="L5" i="4"/>
  <c r="T31" i="2" l="1"/>
  <c r="P31" i="2"/>
  <c r="X31" i="2"/>
  <c r="E33" i="2"/>
  <c r="E34" i="2" s="1"/>
  <c r="W31" i="2"/>
  <c r="O31" i="2"/>
  <c r="G31" i="2"/>
  <c r="S31" i="2"/>
  <c r="Q3" i="4"/>
  <c r="J15" i="4"/>
  <c r="I19" i="4"/>
  <c r="T32" i="2"/>
  <c r="P32" i="2"/>
  <c r="Q4" i="4"/>
  <c r="W32" i="2"/>
  <c r="O32" i="2"/>
  <c r="S32" i="2"/>
  <c r="G32" i="2"/>
  <c r="Q32" i="2" s="1"/>
  <c r="R33" i="2"/>
  <c r="N33" i="2"/>
  <c r="V33" i="2"/>
  <c r="F33" i="2"/>
  <c r="F34" i="2" s="1"/>
  <c r="J30" i="4"/>
  <c r="I34" i="4"/>
  <c r="K7" i="4"/>
  <c r="N6" i="4"/>
  <c r="L6" i="4"/>
  <c r="I16" i="4"/>
  <c r="J12" i="4"/>
  <c r="I21" i="4"/>
  <c r="J17" i="4"/>
  <c r="M5" i="4"/>
  <c r="P5" i="4" s="1"/>
  <c r="O5" i="4"/>
  <c r="O33" i="2" l="1"/>
  <c r="G33" i="2"/>
  <c r="G34" i="2" s="1"/>
  <c r="Q31" i="2"/>
  <c r="U31" i="2"/>
  <c r="Y31" i="2"/>
  <c r="W33" i="2"/>
  <c r="S33" i="2"/>
  <c r="Q5" i="4"/>
  <c r="I23" i="4"/>
  <c r="J19" i="4"/>
  <c r="Y32" i="2"/>
  <c r="U32" i="2"/>
  <c r="P33" i="2"/>
  <c r="X33" i="2"/>
  <c r="T33" i="2"/>
  <c r="J16" i="4"/>
  <c r="I20" i="4"/>
  <c r="K8" i="4"/>
  <c r="N7" i="4"/>
  <c r="L7" i="4"/>
  <c r="M6" i="4"/>
  <c r="P6" i="4" s="1"/>
  <c r="O6" i="4"/>
  <c r="I25" i="4"/>
  <c r="J21" i="4"/>
  <c r="I38" i="4"/>
  <c r="J34" i="4"/>
  <c r="U33" i="2" l="1"/>
  <c r="Q33" i="2"/>
  <c r="Y33" i="2"/>
  <c r="I27" i="4"/>
  <c r="J23" i="4"/>
  <c r="Q6" i="4"/>
  <c r="M7" i="4"/>
  <c r="P7" i="4" s="1"/>
  <c r="O7" i="4"/>
  <c r="J38" i="4"/>
  <c r="I42" i="4"/>
  <c r="I29" i="4"/>
  <c r="J25" i="4"/>
  <c r="N8" i="4"/>
  <c r="K9" i="4"/>
  <c r="L8" i="4"/>
  <c r="I24" i="4"/>
  <c r="J20" i="4"/>
  <c r="I31" i="4" l="1"/>
  <c r="J27" i="4"/>
  <c r="Q7" i="4"/>
  <c r="J29" i="4"/>
  <c r="I33" i="4"/>
  <c r="M8" i="4"/>
  <c r="P8" i="4" s="1"/>
  <c r="O8" i="4"/>
  <c r="I46" i="4"/>
  <c r="J42" i="4"/>
  <c r="I28" i="4"/>
  <c r="J24" i="4"/>
  <c r="N9" i="4"/>
  <c r="L9" i="4"/>
  <c r="K10" i="4"/>
  <c r="Q8" i="4" l="1"/>
  <c r="J31" i="4"/>
  <c r="I35" i="4"/>
  <c r="I32" i="4"/>
  <c r="J28" i="4"/>
  <c r="J46" i="4"/>
  <c r="I50" i="4"/>
  <c r="L10" i="4"/>
  <c r="N10" i="4"/>
  <c r="K11" i="4"/>
  <c r="M9" i="4"/>
  <c r="P9" i="4" s="1"/>
  <c r="O9" i="4"/>
  <c r="I37" i="4"/>
  <c r="J33" i="4"/>
  <c r="I39" i="4" l="1"/>
  <c r="J35" i="4"/>
  <c r="Q9" i="4"/>
  <c r="I54" i="4"/>
  <c r="J50" i="4"/>
  <c r="M10" i="4"/>
  <c r="P10" i="4" s="1"/>
  <c r="O10" i="4"/>
  <c r="I36" i="4"/>
  <c r="J32" i="4"/>
  <c r="N11" i="4"/>
  <c r="K12" i="4"/>
  <c r="L11" i="4"/>
  <c r="I41" i="4"/>
  <c r="J37" i="4"/>
  <c r="I43" i="4" l="1"/>
  <c r="J39" i="4"/>
  <c r="Q10" i="4"/>
  <c r="J36" i="4"/>
  <c r="I40" i="4"/>
  <c r="I45" i="4"/>
  <c r="J41" i="4"/>
  <c r="M11" i="4"/>
  <c r="P11" i="4" s="1"/>
  <c r="O11" i="4"/>
  <c r="L12" i="4"/>
  <c r="K13" i="4"/>
  <c r="N12" i="4"/>
  <c r="I58" i="4"/>
  <c r="J54" i="4"/>
  <c r="J43" i="4" l="1"/>
  <c r="I47" i="4"/>
  <c r="Q11" i="4"/>
  <c r="K14" i="4"/>
  <c r="N13" i="4"/>
  <c r="L13" i="4"/>
  <c r="I44" i="4"/>
  <c r="J40" i="4"/>
  <c r="I62" i="4"/>
  <c r="J58" i="4"/>
  <c r="J45" i="4"/>
  <c r="I49" i="4"/>
  <c r="M12" i="4"/>
  <c r="P12" i="4" s="1"/>
  <c r="O12" i="4"/>
  <c r="I51" i="4" l="1"/>
  <c r="J47" i="4"/>
  <c r="Q12" i="4"/>
  <c r="O13" i="4"/>
  <c r="M13" i="4"/>
  <c r="P13" i="4" s="1"/>
  <c r="I53" i="4"/>
  <c r="J49" i="4"/>
  <c r="K15" i="4"/>
  <c r="N14" i="4"/>
  <c r="L14" i="4"/>
  <c r="I48" i="4"/>
  <c r="J44" i="4"/>
  <c r="I66" i="4"/>
  <c r="J62" i="4"/>
  <c r="I55" i="4" l="1"/>
  <c r="J51" i="4"/>
  <c r="Q13" i="4"/>
  <c r="N15" i="4"/>
  <c r="K16" i="4"/>
  <c r="L15" i="4"/>
  <c r="I70" i="4"/>
  <c r="J66" i="4"/>
  <c r="J53" i="4"/>
  <c r="I57" i="4"/>
  <c r="I52" i="4"/>
  <c r="J48" i="4"/>
  <c r="M14" i="4"/>
  <c r="P14" i="4" s="1"/>
  <c r="O14" i="4"/>
  <c r="I59" i="4" l="1"/>
  <c r="J55" i="4"/>
  <c r="Q14" i="4"/>
  <c r="J70" i="4"/>
  <c r="I74" i="4"/>
  <c r="O15" i="4"/>
  <c r="M15" i="4"/>
  <c r="P15" i="4" s="1"/>
  <c r="L16" i="4"/>
  <c r="K17" i="4"/>
  <c r="N16" i="4"/>
  <c r="I61" i="4"/>
  <c r="J57" i="4"/>
  <c r="J52" i="4"/>
  <c r="I56" i="4"/>
  <c r="J59" i="4" l="1"/>
  <c r="I63" i="4"/>
  <c r="Q15" i="4"/>
  <c r="I65" i="4"/>
  <c r="J61" i="4"/>
  <c r="I60" i="4"/>
  <c r="J56" i="4"/>
  <c r="M16" i="4"/>
  <c r="P16" i="4" s="1"/>
  <c r="O16" i="4"/>
  <c r="L17" i="4"/>
  <c r="K18" i="4"/>
  <c r="N17" i="4"/>
  <c r="J74" i="4"/>
  <c r="I78" i="4"/>
  <c r="I67" i="4" l="1"/>
  <c r="J63" i="4"/>
  <c r="Q16" i="4"/>
  <c r="M17" i="4"/>
  <c r="P17" i="4" s="1"/>
  <c r="O17" i="4"/>
  <c r="I82" i="4"/>
  <c r="J82" i="4" s="1"/>
  <c r="J78" i="4"/>
  <c r="I64" i="4"/>
  <c r="J60" i="4"/>
  <c r="L18" i="4"/>
  <c r="K19" i="4"/>
  <c r="N18" i="4"/>
  <c r="I69" i="4"/>
  <c r="J65" i="4"/>
  <c r="I71" i="4" l="1"/>
  <c r="J67" i="4"/>
  <c r="Q17" i="4"/>
  <c r="I73" i="4"/>
  <c r="J69" i="4"/>
  <c r="I68" i="4"/>
  <c r="J64" i="4"/>
  <c r="L19" i="4"/>
  <c r="K20" i="4"/>
  <c r="N19" i="4"/>
  <c r="O18" i="4"/>
  <c r="M18" i="4"/>
  <c r="P18" i="4" s="1"/>
  <c r="Q18" i="4" l="1"/>
  <c r="I75" i="4"/>
  <c r="J71" i="4"/>
  <c r="O19" i="4"/>
  <c r="M19" i="4"/>
  <c r="P19" i="4" s="1"/>
  <c r="J68" i="4"/>
  <c r="I72" i="4"/>
  <c r="L20" i="4"/>
  <c r="N20" i="4"/>
  <c r="K21" i="4"/>
  <c r="I77" i="4"/>
  <c r="J73" i="4"/>
  <c r="I79" i="4" l="1"/>
  <c r="J79" i="4" s="1"/>
  <c r="J75" i="4"/>
  <c r="Q19" i="4"/>
  <c r="N21" i="4"/>
  <c r="L21" i="4"/>
  <c r="K22" i="4"/>
  <c r="J72" i="4"/>
  <c r="I76" i="4"/>
  <c r="O20" i="4"/>
  <c r="M20" i="4"/>
  <c r="P20" i="4" s="1"/>
  <c r="J77" i="4"/>
  <c r="I81" i="4"/>
  <c r="J81" i="4" s="1"/>
  <c r="Q20" i="4" l="1"/>
  <c r="I80" i="4"/>
  <c r="J80" i="4" s="1"/>
  <c r="J76" i="4"/>
  <c r="L22" i="4"/>
  <c r="N22" i="4"/>
  <c r="K23" i="4"/>
  <c r="O21" i="4"/>
  <c r="M21" i="4"/>
  <c r="P21" i="4" s="1"/>
  <c r="Q21" i="4" l="1"/>
  <c r="K24" i="4"/>
  <c r="L23" i="4"/>
  <c r="N23" i="4"/>
  <c r="M22" i="4"/>
  <c r="P22" i="4" s="1"/>
  <c r="O22" i="4"/>
  <c r="Q22" i="4" l="1"/>
  <c r="O23" i="4"/>
  <c r="M23" i="4"/>
  <c r="P23" i="4" s="1"/>
  <c r="K25" i="4"/>
  <c r="L24" i="4"/>
  <c r="N24" i="4"/>
  <c r="Q23" i="4" l="1"/>
  <c r="O24" i="4"/>
  <c r="M24" i="4"/>
  <c r="P24" i="4" s="1"/>
  <c r="K26" i="4"/>
  <c r="L25" i="4"/>
  <c r="N25" i="4"/>
  <c r="Q24" i="4" l="1"/>
  <c r="O25" i="4"/>
  <c r="M25" i="4"/>
  <c r="P25" i="4" s="1"/>
  <c r="N26" i="4"/>
  <c r="L26" i="4"/>
  <c r="K27" i="4"/>
  <c r="Q25" i="4" l="1"/>
  <c r="M26" i="4"/>
  <c r="P26" i="4" s="1"/>
  <c r="O26" i="4"/>
  <c r="N27" i="4"/>
  <c r="L27" i="4"/>
  <c r="K28" i="4"/>
  <c r="Q26" i="4" l="1"/>
  <c r="M27" i="4"/>
  <c r="P27" i="4" s="1"/>
  <c r="O27" i="4"/>
  <c r="L28" i="4"/>
  <c r="N28" i="4"/>
  <c r="K29" i="4"/>
  <c r="Q27" i="4" l="1"/>
  <c r="N29" i="4"/>
  <c r="L29" i="4"/>
  <c r="K30" i="4"/>
  <c r="M28" i="4"/>
  <c r="P28" i="4" s="1"/>
  <c r="O28" i="4"/>
  <c r="Q28" i="4" l="1"/>
  <c r="L30" i="4"/>
  <c r="K31" i="4"/>
  <c r="N30" i="4"/>
  <c r="O29" i="4"/>
  <c r="M29" i="4"/>
  <c r="P29" i="4" s="1"/>
  <c r="Q29" i="4" l="1"/>
  <c r="K32" i="4"/>
  <c r="L31" i="4"/>
  <c r="N31" i="4"/>
  <c r="O30" i="4"/>
  <c r="M30" i="4"/>
  <c r="P30" i="4" s="1"/>
  <c r="Q30" i="4" l="1"/>
  <c r="O31" i="4"/>
  <c r="M31" i="4"/>
  <c r="P31" i="4" s="1"/>
  <c r="K33" i="4"/>
  <c r="L32" i="4"/>
  <c r="N32" i="4"/>
  <c r="Q31" i="4" l="1"/>
  <c r="N33" i="4"/>
  <c r="K34" i="4"/>
  <c r="L33" i="4"/>
  <c r="M32" i="4"/>
  <c r="P32" i="4" s="1"/>
  <c r="O32" i="4"/>
  <c r="Q32" i="4" l="1"/>
  <c r="O33" i="4"/>
  <c r="M33" i="4"/>
  <c r="P33" i="4" s="1"/>
  <c r="N34" i="4"/>
  <c r="L34" i="4"/>
  <c r="K35" i="4"/>
  <c r="Q33" i="4" l="1"/>
  <c r="L35" i="4"/>
  <c r="N35" i="4"/>
  <c r="K36" i="4"/>
  <c r="O34" i="4"/>
  <c r="M34" i="4"/>
  <c r="P34" i="4" s="1"/>
  <c r="Q34" i="4" l="1"/>
  <c r="L36" i="4"/>
  <c r="K37" i="4"/>
  <c r="N36" i="4"/>
  <c r="M35" i="4"/>
  <c r="P35" i="4" s="1"/>
  <c r="O35" i="4"/>
  <c r="Q35" i="4" l="1"/>
  <c r="K38" i="4"/>
  <c r="N37" i="4"/>
  <c r="L37" i="4"/>
  <c r="O36" i="4"/>
  <c r="M36" i="4"/>
  <c r="P36" i="4" s="1"/>
  <c r="Q36" i="4" l="1"/>
  <c r="M37" i="4"/>
  <c r="P37" i="4" s="1"/>
  <c r="O37" i="4"/>
  <c r="K39" i="4"/>
  <c r="N38" i="4"/>
  <c r="L38" i="4"/>
  <c r="Q37" i="4" l="1"/>
  <c r="O38" i="4"/>
  <c r="M38" i="4"/>
  <c r="P38" i="4" s="1"/>
  <c r="K40" i="4"/>
  <c r="L39" i="4"/>
  <c r="N39" i="4"/>
  <c r="Q38" i="4" l="1"/>
  <c r="M39" i="4"/>
  <c r="P39" i="4" s="1"/>
  <c r="O39" i="4"/>
  <c r="K41" i="4"/>
  <c r="N40" i="4"/>
  <c r="L40" i="4"/>
  <c r="Q39" i="4" l="1"/>
  <c r="O40" i="4"/>
  <c r="M40" i="4"/>
  <c r="P40" i="4" s="1"/>
  <c r="L41" i="4"/>
  <c r="N41" i="4"/>
  <c r="K42" i="4"/>
  <c r="Q40" i="4" l="1"/>
  <c r="L42" i="4"/>
  <c r="N42" i="4"/>
  <c r="K43" i="4"/>
  <c r="O41" i="4"/>
  <c r="M41" i="4"/>
  <c r="P41" i="4" s="1"/>
  <c r="Q41" i="4" l="1"/>
  <c r="K44" i="4"/>
  <c r="N43" i="4"/>
  <c r="L43" i="4"/>
  <c r="O42" i="4"/>
  <c r="M42" i="4"/>
  <c r="P42" i="4" s="1"/>
  <c r="Q42" i="4" l="1"/>
  <c r="O43" i="4"/>
  <c r="M43" i="4"/>
  <c r="P43" i="4" s="1"/>
  <c r="L44" i="4"/>
  <c r="K45" i="4"/>
  <c r="N44" i="4"/>
  <c r="Q43" i="4" l="1"/>
  <c r="N45" i="4"/>
  <c r="L45" i="4"/>
  <c r="K46" i="4"/>
  <c r="O44" i="4"/>
  <c r="M44" i="4"/>
  <c r="P44" i="4" s="1"/>
  <c r="Q44" i="4" l="1"/>
  <c r="L46" i="4"/>
  <c r="N46" i="4"/>
  <c r="K47" i="4"/>
  <c r="M45" i="4"/>
  <c r="P45" i="4" s="1"/>
  <c r="O45" i="4"/>
  <c r="Q45" i="4" l="1"/>
  <c r="L47" i="4"/>
  <c r="K48" i="4"/>
  <c r="N47" i="4"/>
  <c r="M46" i="4"/>
  <c r="P46" i="4" s="1"/>
  <c r="O46" i="4"/>
  <c r="Q46" i="4" l="1"/>
  <c r="N48" i="4"/>
  <c r="L48" i="4"/>
  <c r="K49" i="4"/>
  <c r="O47" i="4"/>
  <c r="M47" i="4"/>
  <c r="P47" i="4" s="1"/>
  <c r="Q47" i="4" l="1"/>
  <c r="L49" i="4"/>
  <c r="K50" i="4"/>
  <c r="N49" i="4"/>
  <c r="O48" i="4"/>
  <c r="M48" i="4"/>
  <c r="P48" i="4" s="1"/>
  <c r="Q48" i="4" l="1"/>
  <c r="N50" i="4"/>
  <c r="L50" i="4"/>
  <c r="K51" i="4"/>
  <c r="O49" i="4"/>
  <c r="M49" i="4"/>
  <c r="P49" i="4" s="1"/>
  <c r="Q49" i="4" l="1"/>
  <c r="N51" i="4"/>
  <c r="K52" i="4"/>
  <c r="L51" i="4"/>
  <c r="O50" i="4"/>
  <c r="M50" i="4"/>
  <c r="P50" i="4" s="1"/>
  <c r="Q50" i="4" l="1"/>
  <c r="L52" i="4"/>
  <c r="K53" i="4"/>
  <c r="N52" i="4"/>
  <c r="M51" i="4"/>
  <c r="P51" i="4" s="1"/>
  <c r="O51" i="4"/>
  <c r="Q51" i="4" l="1"/>
  <c r="N53" i="4"/>
  <c r="K54" i="4"/>
  <c r="L53" i="4"/>
  <c r="O52" i="4"/>
  <c r="M52" i="4"/>
  <c r="P52" i="4" s="1"/>
  <c r="Q52" i="4" l="1"/>
  <c r="O53" i="4"/>
  <c r="M53" i="4"/>
  <c r="P53" i="4" s="1"/>
  <c r="L54" i="4"/>
  <c r="K55" i="4"/>
  <c r="N54" i="4"/>
  <c r="Q53" i="4" l="1"/>
  <c r="O54" i="4"/>
  <c r="M54" i="4"/>
  <c r="P54" i="4" s="1"/>
  <c r="K56" i="4"/>
  <c r="N55" i="4"/>
  <c r="L55" i="4"/>
  <c r="Q54" i="4" l="1"/>
  <c r="M55" i="4"/>
  <c r="P55" i="4" s="1"/>
  <c r="O55" i="4"/>
  <c r="N56" i="4"/>
  <c r="K57" i="4"/>
  <c r="L56" i="4"/>
  <c r="Q55" i="4" l="1"/>
  <c r="M56" i="4"/>
  <c r="P56" i="4" s="1"/>
  <c r="O56" i="4"/>
  <c r="L57" i="4"/>
  <c r="N57" i="4"/>
  <c r="K58" i="4"/>
  <c r="Q56" i="4" l="1"/>
  <c r="N58" i="4"/>
  <c r="L58" i="4"/>
  <c r="K59" i="4"/>
  <c r="M57" i="4"/>
  <c r="P57" i="4" s="1"/>
  <c r="O57" i="4"/>
  <c r="Q57" i="4" l="1"/>
  <c r="O58" i="4"/>
  <c r="M58" i="4"/>
  <c r="P58" i="4" s="1"/>
  <c r="L59" i="4"/>
  <c r="K60" i="4"/>
  <c r="N59" i="4"/>
  <c r="Q58" i="4" l="1"/>
  <c r="O59" i="4"/>
  <c r="M59" i="4"/>
  <c r="P59" i="4" s="1"/>
  <c r="K61" i="4"/>
  <c r="N60" i="4"/>
  <c r="L60" i="4"/>
  <c r="Q59" i="4" l="1"/>
  <c r="M60" i="4"/>
  <c r="P60" i="4" s="1"/>
  <c r="O60" i="4"/>
  <c r="K62" i="4"/>
  <c r="N61" i="4"/>
  <c r="L61" i="4"/>
  <c r="Q60" i="4" l="1"/>
  <c r="M61" i="4"/>
  <c r="P61" i="4" s="1"/>
  <c r="O61" i="4"/>
  <c r="K63" i="4"/>
  <c r="N62" i="4"/>
  <c r="L62" i="4"/>
  <c r="Q61" i="4" l="1"/>
  <c r="O62" i="4"/>
  <c r="M62" i="4"/>
  <c r="P62" i="4" s="1"/>
  <c r="N63" i="4"/>
  <c r="K64" i="4"/>
  <c r="L63" i="4"/>
  <c r="Q62" i="4" l="1"/>
  <c r="O63" i="4"/>
  <c r="M63" i="4"/>
  <c r="P63" i="4" s="1"/>
  <c r="L64" i="4"/>
  <c r="K65" i="4"/>
  <c r="N64" i="4"/>
  <c r="Q63" i="4" l="1"/>
  <c r="K66" i="4"/>
  <c r="N65" i="4"/>
  <c r="L65" i="4"/>
  <c r="O64" i="4"/>
  <c r="M64" i="4"/>
  <c r="P64" i="4" s="1"/>
  <c r="Q64" i="4" l="1"/>
  <c r="O65" i="4"/>
  <c r="M65" i="4"/>
  <c r="P65" i="4" s="1"/>
  <c r="L66" i="4"/>
  <c r="K67" i="4"/>
  <c r="N66" i="4"/>
  <c r="Q65" i="4" l="1"/>
  <c r="K68" i="4"/>
  <c r="N67" i="4"/>
  <c r="L67" i="4"/>
  <c r="M66" i="4"/>
  <c r="P66" i="4" s="1"/>
  <c r="O66" i="4"/>
  <c r="Q66" i="4" l="1"/>
  <c r="M67" i="4"/>
  <c r="P67" i="4" s="1"/>
  <c r="O67" i="4"/>
  <c r="N68" i="4"/>
  <c r="L68" i="4"/>
  <c r="K69" i="4"/>
  <c r="Q67" i="4" l="1"/>
  <c r="L69" i="4"/>
  <c r="K70" i="4"/>
  <c r="N69" i="4"/>
  <c r="O68" i="4"/>
  <c r="M68" i="4"/>
  <c r="P68" i="4" s="1"/>
  <c r="Q68" i="4" l="1"/>
  <c r="K71" i="4"/>
  <c r="N70" i="4"/>
  <c r="L70" i="4"/>
  <c r="O69" i="4"/>
  <c r="M69" i="4"/>
  <c r="P69" i="4" s="1"/>
  <c r="Q69" i="4" l="1"/>
  <c r="M70" i="4"/>
  <c r="P70" i="4" s="1"/>
  <c r="O70" i="4"/>
  <c r="K72" i="4"/>
  <c r="N71" i="4"/>
  <c r="L71" i="4"/>
  <c r="Q70" i="4" l="1"/>
  <c r="O71" i="4"/>
  <c r="M71" i="4"/>
  <c r="P71" i="4" s="1"/>
  <c r="N72" i="4"/>
  <c r="L72" i="4"/>
  <c r="K73" i="4"/>
  <c r="Q71" i="4" l="1"/>
  <c r="K74" i="4"/>
  <c r="N73" i="4"/>
  <c r="L73" i="4"/>
  <c r="M72" i="4"/>
  <c r="P72" i="4" s="1"/>
  <c r="O72" i="4"/>
  <c r="Q72" i="4" l="1"/>
  <c r="O73" i="4"/>
  <c r="M73" i="4"/>
  <c r="P73" i="4" s="1"/>
  <c r="L74" i="4"/>
  <c r="N74" i="4"/>
  <c r="K75" i="4"/>
  <c r="Q73" i="4" l="1"/>
  <c r="K76" i="4"/>
  <c r="L75" i="4"/>
  <c r="N75" i="4"/>
  <c r="O74" i="4"/>
  <c r="M74" i="4"/>
  <c r="P74" i="4" s="1"/>
  <c r="Q74" i="4" l="1"/>
  <c r="O75" i="4"/>
  <c r="M75" i="4"/>
  <c r="P75" i="4" s="1"/>
  <c r="K77" i="4"/>
  <c r="N76" i="4"/>
  <c r="L76" i="4"/>
  <c r="Q75" i="4" l="1"/>
  <c r="O76" i="4"/>
  <c r="M76" i="4"/>
  <c r="P76" i="4" s="1"/>
  <c r="N77" i="4"/>
  <c r="L77" i="4"/>
  <c r="K78" i="4"/>
  <c r="Q76" i="4" l="1"/>
  <c r="N78" i="4"/>
  <c r="L78" i="4"/>
  <c r="K79" i="4"/>
  <c r="M77" i="4"/>
  <c r="P77" i="4" s="1"/>
  <c r="O77" i="4"/>
  <c r="Q77" i="4" l="1"/>
  <c r="L79" i="4"/>
  <c r="N79" i="4"/>
  <c r="K80" i="4"/>
  <c r="O78" i="4"/>
  <c r="M78" i="4"/>
  <c r="P78" i="4" s="1"/>
  <c r="Q78" i="4" l="1"/>
  <c r="L80" i="4"/>
  <c r="K81" i="4"/>
  <c r="N80" i="4"/>
  <c r="M79" i="4"/>
  <c r="P79" i="4" s="1"/>
  <c r="O79" i="4"/>
  <c r="Q79" i="4" l="1"/>
  <c r="N81" i="4"/>
  <c r="L81" i="4"/>
  <c r="K82" i="4"/>
  <c r="M80" i="4"/>
  <c r="P80" i="4" s="1"/>
  <c r="O80" i="4"/>
  <c r="Q80" i="4" l="1"/>
  <c r="K83" i="4"/>
  <c r="N82" i="4"/>
  <c r="L82" i="4"/>
  <c r="M81" i="4"/>
  <c r="P81" i="4" s="1"/>
  <c r="O81" i="4"/>
  <c r="Q81" i="4" l="1"/>
  <c r="O82" i="4"/>
  <c r="M82" i="4"/>
  <c r="P82" i="4" s="1"/>
  <c r="L83" i="4"/>
  <c r="K84" i="4"/>
  <c r="N83" i="4"/>
  <c r="Q82" i="4" l="1"/>
  <c r="K85" i="4"/>
  <c r="L84" i="4"/>
  <c r="N84" i="4"/>
  <c r="M83" i="4"/>
  <c r="P83" i="4" s="1"/>
  <c r="O83" i="4"/>
  <c r="O84" i="4" l="1"/>
  <c r="M84" i="4"/>
  <c r="P84" i="4" s="1"/>
  <c r="L85" i="4"/>
  <c r="K86" i="4"/>
  <c r="N85" i="4"/>
  <c r="N86" i="4" l="1"/>
  <c r="L86" i="4"/>
  <c r="O85" i="4"/>
  <c r="M85" i="4"/>
  <c r="P85" i="4" s="1"/>
  <c r="O86" i="4" l="1"/>
  <c r="M86" i="4"/>
  <c r="P86" i="4" s="1"/>
</calcChain>
</file>

<file path=xl/sharedStrings.xml><?xml version="1.0" encoding="utf-8"?>
<sst xmlns="http://schemas.openxmlformats.org/spreadsheetml/2006/main" count="393" uniqueCount="309">
  <si>
    <t>Project Estimates</t>
  </si>
  <si>
    <t>Rate</t>
  </si>
  <si>
    <t>Lo Hrs.</t>
  </si>
  <si>
    <t>Hi Hrs.</t>
  </si>
  <si>
    <t>Lo Cost Est</t>
  </si>
  <si>
    <t>Hi Cost Est</t>
  </si>
  <si>
    <t>Formatting</t>
  </si>
  <si>
    <t>Short Rate Name</t>
  </si>
  <si>
    <t>Long Rate Name</t>
  </si>
  <si>
    <t>P1%</t>
  </si>
  <si>
    <t>P2%</t>
  </si>
  <si>
    <t>P3%</t>
  </si>
  <si>
    <t>P1LOW</t>
  </si>
  <si>
    <t>P1HI</t>
  </si>
  <si>
    <t>P1COSTLO</t>
  </si>
  <si>
    <t>P1COSTHI</t>
  </si>
  <si>
    <t>P2LOW</t>
  </si>
  <si>
    <t>P2HI</t>
  </si>
  <si>
    <t>P2COSTLO</t>
  </si>
  <si>
    <t>P2COSTHI</t>
  </si>
  <si>
    <t>P3LOW</t>
  </si>
  <si>
    <t>P3HI</t>
  </si>
  <si>
    <t>P3COSTLO</t>
  </si>
  <si>
    <t>P3COSTHI</t>
  </si>
  <si>
    <t>Description</t>
  </si>
  <si>
    <t>Clarity PayHub License (Core Modules)</t>
  </si>
  <si>
    <t>EL</t>
  </si>
  <si>
    <t>*One-time base license for the Clarity eCommerce platform. Includes all "base modules" below needed for the estimated project (unless otherwise specified - i.e. multi-store, multi-lingual, etc.). 
**Annual maintenance can be purchased for 30% of the cost of the license. This includes a small bucket of hours which can be used for tech support, training, enhancements, etc. Additional hours may be purchased at the standard rates.</t>
  </si>
  <si>
    <t xml:space="preserve">PayHub &amp; Connect Licensing </t>
  </si>
  <si>
    <t xml:space="preserve"> - My Profile, Account Profile, Address Book, &amp; Wallet Modules</t>
  </si>
  <si>
    <t xml:space="preserve"> - User Dashboard: Invoices Module</t>
  </si>
  <si>
    <t xml:space="preserve"> - Admin Dashboard Module</t>
  </si>
  <si>
    <t xml:space="preserve"> - Clarity API Module</t>
  </si>
  <si>
    <t>Clarity Connect License (Core Modules)</t>
  </si>
  <si>
    <t>CL</t>
  </si>
  <si>
    <t>*One-time base license for the Clarity Connect platform. Includes any connectors for the CRM/ERP/EMR that we're trying to connect to if they already exist. 
**Annual maintenance can be purchased for 30% of the cost of the license. This includes a small bucket of hours which can be used for tech support, training, enhancements, etc. Additional hours may be purchased at the standard rates.</t>
  </si>
  <si>
    <t xml:space="preserve">   - 1st Application integrated (PayHub)</t>
  </si>
  <si>
    <t>*&lt;FIRST APPLICATION&gt;</t>
  </si>
  <si>
    <t xml:space="preserve">   - 2nd Application integrated (Client ERP)</t>
  </si>
  <si>
    <t>*&lt;SECOND APPLICATION&gt;</t>
  </si>
  <si>
    <t>Basic CEF Client configuration package</t>
  </si>
  <si>
    <t>*Clarity will prepare a package / documents that will allow the client to review and make choices on the installation and configuration of the site (i.e. which merchant account are you using, which shipping carrier, are we calculating sales tax, etc.). Once the client has provided the responses, Clarity will custom configure the installation and stand it up, ready for the client to start adding site content and storefront products.</t>
  </si>
  <si>
    <t>Included eCommerce Configuration</t>
  </si>
  <si>
    <t>Basic CEF installation</t>
  </si>
  <si>
    <t>*included - Clarity will install (in the dev environment), the basic OOTB CEF installation, and create credentials for you to add content/products.</t>
  </si>
  <si>
    <t>Basic CEF configuration</t>
  </si>
  <si>
    <t>El</t>
  </si>
  <si>
    <t>*included - There are numerous features that may or may not be wanted for your installation (B2B features turned off for a B2C site, etc.), or B2B features turned on (invoicing, warehousing, etc.).</t>
  </si>
  <si>
    <t>Basic CEF QA (validation of features, etc.)</t>
  </si>
  <si>
    <t>*included - For the OOTB features, Clarity will provide QA/quality control to test the implementation once your products have been installed and content posted.  The client will be responsible for final QA and sign off for pushing to production.</t>
  </si>
  <si>
    <t>Basic Push to Production</t>
  </si>
  <si>
    <t>*included - Once the site has passed UAT, Clarity will push the site to production. **This may be variable if the client wants a more complex hosting environment set up (i.e. load balancing, CDN, etc.). If the client chooses an outside hosting provider (themselves, AWS, Azure, etc.), then the client is responsible for any hosting fees.</t>
  </si>
  <si>
    <t>Basic Connect Client configuration package</t>
  </si>
  <si>
    <t>*Clarity will prepare a package / documents that will allow the client to review and make choices on the installation and configuration of the integration.  This will include the the fields mappings worksheet (if the client is going to do the mappings), instructions and information about where the integration platform will be hosted.</t>
  </si>
  <si>
    <t>Included Connect Configuration</t>
  </si>
  <si>
    <t>Basic Connect installation (Dev)</t>
  </si>
  <si>
    <t>*included - Clarity will install (in the dev environment), the basic OOTB Connect installation. The client will be responsible for providing credentials/access to a test account or environment for the applications being connected.</t>
  </si>
  <si>
    <t>Basic Connect configuration</t>
  </si>
  <si>
    <t>*included - There are numerous features that are configurable based on where the solution will be installed, what queue and database will be used, etc. This line item will be used to set up those basic features.</t>
  </si>
  <si>
    <t>Basic Connect QA (validation of features, etc.)</t>
  </si>
  <si>
    <t>*included - Once the site has passed UAT, Clarity will push the install to production. **This may be variable if the client wants a more complex hosting environment set up (i.e. behind their DMZ/firewall, custom queue or database, etc.). If the client chooses an outside hosting provider (themselves, AWS, Azure, etc.), then the client is responsible for any hosting fees.</t>
  </si>
  <si>
    <t>Included White-Glove Customization Hours</t>
  </si>
  <si>
    <t>B</t>
  </si>
  <si>
    <t>Payment Processor Configuration</t>
  </si>
  <si>
    <t>PayHub Customizations</t>
  </si>
  <si>
    <t>I</t>
  </si>
  <si>
    <t>Connect Customizations</t>
  </si>
  <si>
    <t>Invoices Sync (Bidirectional)</t>
  </si>
  <si>
    <t>Payments Syncs (Unidirectional to Client's ERP)</t>
  </si>
  <si>
    <t>Discovery</t>
  </si>
  <si>
    <t>BA</t>
  </si>
  <si>
    <t>QA, Bug Fix, User Story testing</t>
  </si>
  <si>
    <t>QA</t>
  </si>
  <si>
    <t>*Unit and pre-launch use case testing</t>
  </si>
  <si>
    <t>Meetings</t>
  </si>
  <si>
    <t>MTG</t>
  </si>
  <si>
    <t>*Depends on clients' needs (more meetings, more people = more time)</t>
  </si>
  <si>
    <t>Project Management</t>
  </si>
  <si>
    <t>PM</t>
  </si>
  <si>
    <t>*Clarity Project Management, Invoicing, Sprint planning, Gantt, etc.</t>
  </si>
  <si>
    <t>Projected Estimate</t>
  </si>
  <si>
    <t>Preferred (Pre-paid) Hourly Block Rates &amp; Licensing Costs</t>
  </si>
  <si>
    <t>Lo Rate</t>
  </si>
  <si>
    <t>Hi Rate</t>
  </si>
  <si>
    <t>Front-end Development rate</t>
  </si>
  <si>
    <t>F</t>
  </si>
  <si>
    <t>Phase I &amp; II hours</t>
  </si>
  <si>
    <t>Phase I &amp; II $</t>
  </si>
  <si>
    <t>Total Cost</t>
  </si>
  <si>
    <t>Back-end, Middle-end Development rate</t>
  </si>
  <si>
    <t>B/M</t>
  </si>
  <si>
    <t>Quality Assurance, Discovery, Business Analyst rate</t>
  </si>
  <si>
    <t>QA/DD/BA</t>
  </si>
  <si>
    <t>Integration Development rate</t>
  </si>
  <si>
    <t>SEO / marketing work rate</t>
  </si>
  <si>
    <t>SE/MK</t>
  </si>
  <si>
    <t>Phase III hours</t>
  </si>
  <si>
    <t>Clarity eCommerce software license</t>
  </si>
  <si>
    <t>Clarity Connect software license</t>
  </si>
  <si>
    <t>*NOTE: Standard (Post pay) rate @ + $25/hr.</t>
  </si>
  <si>
    <t>Project Hours Breakdown by Group / Phase</t>
  </si>
  <si>
    <t>Row Labels</t>
  </si>
  <si>
    <t>Low Hrs</t>
  </si>
  <si>
    <t>Hi Hrs</t>
  </si>
  <si>
    <t>Low Rate</t>
  </si>
  <si>
    <t>PI Lo Hr</t>
  </si>
  <si>
    <t>PI Hi Hr</t>
  </si>
  <si>
    <t>Phase 1 Lo</t>
  </si>
  <si>
    <t>Phase 1 Hi</t>
  </si>
  <si>
    <t>P2 Lo Hr</t>
  </si>
  <si>
    <t>P2 Hi Hr</t>
  </si>
  <si>
    <t>Phase 2 Lo</t>
  </si>
  <si>
    <t>Phase 2 HI</t>
  </si>
  <si>
    <t>P3 Lo Hr</t>
  </si>
  <si>
    <t>P3 Hi Hr</t>
  </si>
  <si>
    <t>Phase 3 Lo</t>
  </si>
  <si>
    <t>Phase 3 Hi</t>
  </si>
  <si>
    <t>Back End</t>
  </si>
  <si>
    <t>Front End</t>
  </si>
  <si>
    <t>Integration</t>
  </si>
  <si>
    <t>License</t>
  </si>
  <si>
    <t>Quality Assurance</t>
  </si>
  <si>
    <t>Business Analyst</t>
  </si>
  <si>
    <t>Grand Total</t>
  </si>
  <si>
    <t>Project-based Payments</t>
  </si>
  <si>
    <t>Cost Per Month</t>
  </si>
  <si>
    <t>Month</t>
  </si>
  <si>
    <t>Month Name</t>
  </si>
  <si>
    <t>Total</t>
  </si>
  <si>
    <t>May</t>
  </si>
  <si>
    <t>June</t>
  </si>
  <si>
    <t>July</t>
  </si>
  <si>
    <t>MonthNum</t>
  </si>
  <si>
    <t>MonthName</t>
  </si>
  <si>
    <t>January</t>
  </si>
  <si>
    <t>February</t>
  </si>
  <si>
    <t>March</t>
  </si>
  <si>
    <t>April</t>
  </si>
  <si>
    <t>August</t>
  </si>
  <si>
    <t>September</t>
  </si>
  <si>
    <t>October</t>
  </si>
  <si>
    <t>November</t>
  </si>
  <si>
    <t>December</t>
  </si>
  <si>
    <t>Starting Month</t>
  </si>
  <si>
    <t>Column1</t>
  </si>
  <si>
    <t>Column2</t>
  </si>
  <si>
    <t>Weeks</t>
  </si>
  <si>
    <t>Cost</t>
  </si>
  <si>
    <t>Cost Per Week</t>
  </si>
  <si>
    <t>Week</t>
  </si>
  <si>
    <t>Ignore1</t>
  </si>
  <si>
    <t>Ignore2</t>
  </si>
  <si>
    <t>Ignore3</t>
  </si>
  <si>
    <t>P1Cost</t>
  </si>
  <si>
    <t>P2Cost</t>
  </si>
  <si>
    <t>P3Cost</t>
  </si>
  <si>
    <t>Phase 1</t>
  </si>
  <si>
    <t>Week 1</t>
  </si>
  <si>
    <t>Phase 2</t>
  </si>
  <si>
    <t>Week 2</t>
  </si>
  <si>
    <t>Phase 3</t>
  </si>
  <si>
    <t>Week 3</t>
  </si>
  <si>
    <t>Week 4</t>
  </si>
  <si>
    <t>Week 5</t>
  </si>
  <si>
    <t>Week 6</t>
  </si>
  <si>
    <t>Column3</t>
  </si>
  <si>
    <t>Column4</t>
  </si>
  <si>
    <t>Week 7</t>
  </si>
  <si>
    <t>Variance Months</t>
  </si>
  <si>
    <t>%</t>
  </si>
  <si>
    <t>Week 8</t>
  </si>
  <si>
    <t>Week 9</t>
  </si>
  <si>
    <t>Variance</t>
  </si>
  <si>
    <t>Variance Amount</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</si>
  <si>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</si>
  <si>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</si>
  <si>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</si>
  <si>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</si>
  <si>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</si>
  <si>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</si>
  <si>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</si>
  <si>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</si>
  <si>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</si>
  <si>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</si>
  <si>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</si>
  <si>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</si>
  <si>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</si>
  <si>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</si>
  <si>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</si>
  <si>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</si>
  <si>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</si>
  <si>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</si>
  <si>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</si>
  <si>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</si>
  <si>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</si>
  <si>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</si>
  <si>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</si>
  <si>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</si>
  <si>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</si>
  <si>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</si>
  <si>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</si>
  <si>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</si>
  <si>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</si>
  <si>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</si>
  <si>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</si>
  <si>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</si>
  <si>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</si>
  <si>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</si>
  <si>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</si>
  <si>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</si>
  <si>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</si>
  <si>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</si>
  <si>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</si>
  <si>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</si>
  <si>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</si>
  <si>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</si>
  <si>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</si>
  <si>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Week 53</t>
  </si>
  <si>
    <t>Week 54</t>
  </si>
  <si>
    <t>Week 55</t>
  </si>
  <si>
    <t>Week 56</t>
  </si>
  <si>
    <t>Week 57</t>
  </si>
  <si>
    <t>Week 58</t>
  </si>
  <si>
    <t>Week 59</t>
  </si>
  <si>
    <t>Week 60</t>
  </si>
  <si>
    <t>Week 61</t>
  </si>
  <si>
    <t>Week 62</t>
  </si>
  <si>
    <t>Week 63</t>
  </si>
  <si>
    <t>Week 64</t>
  </si>
  <si>
    <t>Week 65</t>
  </si>
  <si>
    <t>Week 66</t>
  </si>
  <si>
    <t>Week 67</t>
  </si>
  <si>
    <t>Week 68</t>
  </si>
  <si>
    <t>Week 69</t>
  </si>
  <si>
    <t>Week 70</t>
  </si>
  <si>
    <t>Week 71</t>
  </si>
  <si>
    <t>Week 72</t>
  </si>
  <si>
    <t>Week 73</t>
  </si>
  <si>
    <t>Week 74</t>
  </si>
  <si>
    <t>Week 75</t>
  </si>
  <si>
    <t>Week 76</t>
  </si>
  <si>
    <t>Week 77</t>
  </si>
  <si>
    <t>Week 78</t>
  </si>
  <si>
    <t>Week 79</t>
  </si>
  <si>
    <t>Week 80</t>
  </si>
  <si>
    <t>Variance 1</t>
  </si>
  <si>
    <t>Variance - 1</t>
  </si>
  <si>
    <t>Variance 2</t>
  </si>
  <si>
    <t>Variance - 2</t>
  </si>
  <si>
    <t>Variance 3</t>
  </si>
  <si>
    <t>Variance - 3</t>
  </si>
  <si>
    <t>Variance 4</t>
  </si>
  <si>
    <t>Variance - 4</t>
  </si>
  <si>
    <t>Project Estimates Legend</t>
  </si>
  <si>
    <t>Code</t>
  </si>
  <si>
    <t>Preferred Rate</t>
  </si>
  <si>
    <t>Lo-Hi Range</t>
  </si>
  <si>
    <t>% Of Dev</t>
  </si>
  <si>
    <t>Short Name</t>
  </si>
  <si>
    <t>Type of Product / Service</t>
  </si>
  <si>
    <t>Color</t>
  </si>
  <si>
    <t>Front End Hourly Rate ($150/hr. for post-pay)</t>
  </si>
  <si>
    <t>Blue</t>
  </si>
  <si>
    <t>Back End Hourly Rate ($175/hr. for post-pay)</t>
  </si>
  <si>
    <t>Yellow</t>
  </si>
  <si>
    <t>M</t>
  </si>
  <si>
    <t>Middle End</t>
  </si>
  <si>
    <t>Middle End Hourly Rate ($175/hr. for post-pay)</t>
  </si>
  <si>
    <t>Green</t>
  </si>
  <si>
    <t>Integration Hourly Rate ($175/hr. for post-pay)</t>
  </si>
  <si>
    <t>Orange</t>
  </si>
  <si>
    <t>MK</t>
  </si>
  <si>
    <t>Marketing</t>
  </si>
  <si>
    <t>Marketing Hourly Rate ($200/hr. for post-pay)</t>
  </si>
  <si>
    <t>Grey</t>
  </si>
  <si>
    <t>SE</t>
  </si>
  <si>
    <t>SEO</t>
  </si>
  <si>
    <t>SEO Hourly Rate ($200/hr. for post-pay)</t>
  </si>
  <si>
    <t>Clarity eCommerce Software License (typically $20,000)</t>
  </si>
  <si>
    <t>Red</t>
  </si>
  <si>
    <t>Clarity Connect Software License (typically $17,000)</t>
  </si>
  <si>
    <t>Business Analysts normally required with projects needing BE development)</t>
  </si>
  <si>
    <t>Dark Yellow</t>
  </si>
  <si>
    <t>Project Management (20% &lt; $75k, 15% &gt; $75k)</t>
  </si>
  <si>
    <t>Dark Green</t>
  </si>
  <si>
    <t>Quality Assurance (typically 15%, 10% for FE-only projects)</t>
  </si>
  <si>
    <t>5-10% based on project size, client (person, team, committee)</t>
  </si>
  <si>
    <t>CMARK</t>
  </si>
  <si>
    <t>Marketing Machine Learning Engine</t>
  </si>
  <si>
    <t>CSTORE</t>
  </si>
  <si>
    <t>Multi-store Module</t>
  </si>
  <si>
    <t>CLANG</t>
  </si>
  <si>
    <t>Multi-Currency / Multi-lingual</t>
  </si>
  <si>
    <t>DD</t>
  </si>
  <si>
    <t>Project Discovery and Documentation</t>
  </si>
  <si>
    <t>&lt;COMPANY NAME&gt; Project Estimates &lt;DATE&gt;</t>
  </si>
  <si>
    <t>Discovery - Technical Analysis</t>
  </si>
  <si>
    <t>Discovery - Requirements Documentation</t>
  </si>
  <si>
    <t>Re-Estimations</t>
  </si>
  <si>
    <t xml:space="preserve">Time for the Clarity BA Team to conduct Discovery Sessions to document Business Logic and Client-Specific Requirements </t>
  </si>
  <si>
    <t xml:space="preserve">Time for the Clarity BA Team to create and FSD (Functional Specification Document) that details all client-specific customizations (Features Description, User Stories, Notes, and Related Documents) </t>
  </si>
  <si>
    <t xml:space="preserve">Time for Clarity's BA Team to conduct a formal Re-Estimations Meeting to task out and estimate all features in the FSD. </t>
  </si>
  <si>
    <t>Customers Sync: Accounts Creation (Unidirectional to PayHub)</t>
  </si>
  <si>
    <t>Customers Sync: User Creation (Unidirectional to PayHub)</t>
  </si>
  <si>
    <t>Customers Sync: Address Creation (Unidirectional to PayHub)</t>
  </si>
  <si>
    <t>QA, PM, and Meetings</t>
  </si>
  <si>
    <t>*The client is provided a total of 20 hours for integration customizations. In order to be able to provide custom development, there will be a need for a Project Manager to be assigned, as well as some meeting time to discuss the customizations, and finally some QA time to validate any customizations. With those all built in, this leaves you 13 hours for actual custom development. You may use this for customizing the integration workflows, helping with the field mappings, adding in custom entities, etc. Any time above the 13 hours used will be  billed at the standard rates.</t>
  </si>
  <si>
    <t xml:space="preserve">**Support plans start at $399/mo depending on number on contacts the client wants to be able to support and the complexity of Client-Specific Integration Customizations. (1 Hour of rolling support per Month)
2 Year minimum commitment for all PayHub Projects </t>
  </si>
  <si>
    <t>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</si>
</sst>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quot;$&quot;#,##0"/>
    <numFmt numFmtId="165" formatCode="&quot;$&quot;#,##0.00"/>
    <numFmt numFmtId="166" formatCode="_(&quot;$&quot;* #,##0_);_(&quot;$&quot;* \(#,##0\);_(&quot;$&quot;* &quot;-&quot;??_);_(@_)"/>
    <numFmt numFmtId="167" formatCode="0.0"/>
  </numFmts>
  <fonts count="18" x14ac:knownFonts="1">
    <font>
      <sz val="11"/>
      <color theme="1"/>
      <name val="Calibri"/>
      <family val="2"/>
      <scheme val="minor"/>
    </font>
    <font>
      <sz val="11"/>
      <color theme="1"/>
      <name val="Calibri"/>
      <family val="2"/>
      <scheme val="minor"/>
    </font>
    <font>
      <sz val="11"/>
      <color theme="1"/>
      <name val="Castellar"/>
      <family val="1"/>
    </font>
    <font>
      <b/>
      <sz val="11"/>
      <color theme="1"/>
      <name val="Calibri"/>
      <family val="2"/>
      <scheme val="minor"/>
    </font>
    <font>
      <sz val="11"/>
      <color theme="0"/>
      <name val="Calibri"/>
      <family val="2"/>
      <scheme val="minor"/>
    </font>
    <font>
      <u/>
      <sz val="11"/>
      <color theme="10"/>
      <name val="Calibri"/>
      <family val="2"/>
      <scheme val="minor"/>
    </font>
    <font>
      <u/>
      <sz val="11"/>
      <color theme="11"/>
      <name val="Calibri"/>
      <family val="2"/>
      <scheme val="minor"/>
    </font>
    <font>
      <sz val="11"/>
      <name val="Calibri"/>
      <family val="2"/>
      <scheme val="minor"/>
    </font>
    <font>
      <sz val="14"/>
      <color theme="0"/>
      <name val="Calibri"/>
      <family val="2"/>
      <scheme val="minor"/>
    </font>
    <font>
      <sz val="14"/>
      <color theme="1"/>
      <name val="Calibri"/>
      <family val="2"/>
      <scheme val="minor"/>
    </font>
    <font>
      <sz val="11"/>
      <color theme="0"/>
      <name val="Castellar"/>
      <family val="1"/>
    </font>
    <font>
      <i/>
      <sz val="11"/>
      <name val="Calibri"/>
      <family val="2"/>
      <scheme val="minor"/>
    </font>
    <font>
      <i/>
      <sz val="11"/>
      <color theme="1"/>
      <name val="Calibri"/>
      <family val="2"/>
      <scheme val="minor"/>
    </font>
    <font>
      <sz val="9"/>
      <color theme="0"/>
      <name val="Calibri"/>
      <family val="2"/>
      <scheme val="minor"/>
    </font>
    <font>
      <sz val="8"/>
      <name val="Calibri"/>
      <family val="2"/>
      <scheme val="minor"/>
    </font>
    <font>
      <b/>
      <sz val="26"/>
      <color theme="0"/>
      <name val="Calibri"/>
      <family val="2"/>
      <scheme val="minor"/>
    </font>
    <font>
      <sz val="11"/>
      <color theme="1"/>
      <name val="Castellar"/>
      <family val="1"/>
    </font>
    <font>
      <b/>
      <sz val="11"/>
      <color theme="1"/>
      <name val="Calibri"/>
      <family val="2"/>
      <scheme val="minor"/>
    </font>
  </fonts>
  <fills count="12">
    <fill>
      <patternFill patternType="none"/>
    </fill>
    <fill>
      <patternFill patternType="gray125"/>
    </fill>
    <fill>
      <patternFill patternType="solid">
        <fgColor rgb="FFCCFFCC"/>
        <bgColor indexed="64"/>
      </patternFill>
    </fill>
    <fill>
      <patternFill patternType="solid">
        <fgColor theme="9" tint="0.39997558519241921"/>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0"/>
        <bgColor indexed="64"/>
      </patternFill>
    </fill>
    <fill>
      <patternFill patternType="solid">
        <fgColor theme="9"/>
        <bgColor indexed="64"/>
      </patternFill>
    </fill>
    <fill>
      <patternFill patternType="solid">
        <fgColor rgb="FF0070C0"/>
        <bgColor indexed="64"/>
      </patternFill>
    </fill>
    <fill>
      <patternFill patternType="solid">
        <fgColor rgb="FF003366"/>
        <bgColor indexed="64"/>
      </patternFill>
    </fill>
    <fill>
      <patternFill patternType="solid">
        <fgColor rgb="FFCCCCFF"/>
        <bgColor indexed="64"/>
      </patternFill>
    </fill>
    <fill>
      <patternFill patternType="solid">
        <fgColor rgb="FF66CCFF"/>
        <bgColor indexed="64"/>
      </patternFill>
    </fill>
  </fills>
  <borders count="42">
    <border>
      <left/>
      <right/>
      <top/>
      <bottom/>
      <diagonal/>
    </border>
    <border>
      <left style="thick">
        <color auto="1"/>
      </left>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style="thin">
        <color auto="1"/>
      </bottom>
      <diagonal/>
    </border>
    <border>
      <left/>
      <right style="thin">
        <color auto="1"/>
      </right>
      <top/>
      <bottom/>
      <diagonal/>
    </border>
    <border>
      <left style="medium">
        <color auto="1"/>
      </left>
      <right style="medium">
        <color auto="1"/>
      </right>
      <top/>
      <bottom/>
      <diagonal/>
    </border>
    <border>
      <left style="thin">
        <color auto="1"/>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ck">
        <color auto="1"/>
      </left>
      <right style="medium">
        <color indexed="64"/>
      </right>
      <top/>
      <bottom/>
      <diagonal/>
    </border>
    <border>
      <left style="thick">
        <color auto="1"/>
      </left>
      <right/>
      <top/>
      <bottom style="medium">
        <color indexed="64"/>
      </bottom>
      <diagonal/>
    </border>
    <border>
      <left style="thick">
        <color auto="1"/>
      </left>
      <right style="medium">
        <color indexed="64"/>
      </right>
      <top/>
      <bottom style="medium">
        <color indexed="64"/>
      </bottom>
      <diagonal/>
    </border>
    <border>
      <left style="medium">
        <color indexed="64"/>
      </left>
      <right/>
      <top style="medium">
        <color indexed="64"/>
      </top>
      <bottom style="thick">
        <color auto="1"/>
      </bottom>
      <diagonal/>
    </border>
    <border>
      <left/>
      <right/>
      <top style="medium">
        <color indexed="64"/>
      </top>
      <bottom style="thick">
        <color auto="1"/>
      </bottom>
      <diagonal/>
    </border>
    <border>
      <left/>
      <right style="medium">
        <color indexed="64"/>
      </right>
      <top style="medium">
        <color indexed="64"/>
      </top>
      <bottom style="thick">
        <color auto="1"/>
      </bottom>
      <diagonal/>
    </border>
    <border>
      <left style="medium">
        <color indexed="64"/>
      </left>
      <right/>
      <top style="thick">
        <color auto="1"/>
      </top>
      <bottom/>
      <diagonal/>
    </border>
    <border>
      <left style="thick">
        <color auto="1"/>
      </left>
      <right style="medium">
        <color indexed="64"/>
      </right>
      <top style="thick">
        <color auto="1"/>
      </top>
      <bottom/>
      <diagonal/>
    </border>
    <border>
      <left/>
      <right/>
      <top style="thin">
        <color indexed="64"/>
      </top>
      <bottom/>
      <diagonal/>
    </border>
  </borders>
  <cellStyleXfs count="121">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01">
    <xf numFmtId="0" fontId="0" fillId="0" borderId="0" xfId="0"/>
    <xf numFmtId="44" fontId="0" fillId="0" borderId="0" xfId="1" applyFont="1"/>
    <xf numFmtId="0" fontId="0" fillId="0" borderId="1" xfId="0" applyBorder="1"/>
    <xf numFmtId="44" fontId="0" fillId="0" borderId="0" xfId="1" applyFont="1" applyBorder="1"/>
    <xf numFmtId="0" fontId="0" fillId="0" borderId="0" xfId="0" applyAlignment="1">
      <alignment horizontal="center"/>
    </xf>
    <xf numFmtId="0" fontId="4" fillId="4" borderId="2" xfId="0" applyFont="1" applyFill="1" applyBorder="1"/>
    <xf numFmtId="1" fontId="4" fillId="4" borderId="3" xfId="0" applyNumberFormat="1" applyFont="1" applyFill="1" applyBorder="1" applyAlignment="1">
      <alignment horizontal="center"/>
    </xf>
    <xf numFmtId="165" fontId="4" fillId="4" borderId="3" xfId="0" applyNumberFormat="1" applyFont="1" applyFill="1" applyBorder="1" applyAlignment="1">
      <alignment horizontal="center"/>
    </xf>
    <xf numFmtId="165" fontId="4" fillId="4" borderId="4" xfId="0" applyNumberFormat="1" applyFont="1" applyFill="1" applyBorder="1" applyAlignment="1">
      <alignment horizontal="center"/>
    </xf>
    <xf numFmtId="1" fontId="0" fillId="0" borderId="0" xfId="0" applyNumberFormat="1" applyAlignment="1">
      <alignment horizontal="center"/>
    </xf>
    <xf numFmtId="164" fontId="7" fillId="2" borderId="0" xfId="0" applyNumberFormat="1" applyFont="1" applyFill="1" applyAlignment="1">
      <alignment horizontal="center"/>
    </xf>
    <xf numFmtId="164" fontId="7" fillId="2" borderId="5" xfId="0" applyNumberFormat="1" applyFont="1" applyFill="1" applyBorder="1" applyAlignment="1">
      <alignment horizontal="center"/>
    </xf>
    <xf numFmtId="164" fontId="4" fillId="0" borderId="0" xfId="0" applyNumberFormat="1" applyFont="1" applyAlignment="1">
      <alignment horizontal="center"/>
    </xf>
    <xf numFmtId="164" fontId="7" fillId="3" borderId="0" xfId="0" applyNumberFormat="1" applyFont="1" applyFill="1" applyAlignment="1">
      <alignment horizontal="center"/>
    </xf>
    <xf numFmtId="164" fontId="7" fillId="3" borderId="5" xfId="0" applyNumberFormat="1" applyFont="1" applyFill="1" applyBorder="1" applyAlignment="1">
      <alignment horizontal="center"/>
    </xf>
    <xf numFmtId="0" fontId="4" fillId="5" borderId="0" xfId="0" applyFont="1" applyFill="1"/>
    <xf numFmtId="44" fontId="4" fillId="5" borderId="0" xfId="1" applyFont="1" applyFill="1" applyBorder="1"/>
    <xf numFmtId="164" fontId="4" fillId="5" borderId="0" xfId="0" applyNumberFormat="1" applyFont="1" applyFill="1"/>
    <xf numFmtId="44" fontId="4" fillId="5" borderId="0" xfId="0" applyNumberFormat="1" applyFont="1" applyFill="1"/>
    <xf numFmtId="0" fontId="4" fillId="0" borderId="0" xfId="0" applyFont="1"/>
    <xf numFmtId="0" fontId="7" fillId="0" borderId="9" xfId="0" applyFont="1" applyBorder="1"/>
    <xf numFmtId="0" fontId="7" fillId="0" borderId="10" xfId="0" applyFont="1" applyBorder="1"/>
    <xf numFmtId="0" fontId="7" fillId="0" borderId="11" xfId="0" applyFont="1" applyBorder="1"/>
    <xf numFmtId="0" fontId="7" fillId="0" borderId="1" xfId="0" applyFont="1" applyBorder="1"/>
    <xf numFmtId="0" fontId="7" fillId="0" borderId="0" xfId="0" applyFont="1"/>
    <xf numFmtId="0" fontId="7" fillId="0" borderId="5" xfId="0" applyFont="1" applyBorder="1"/>
    <xf numFmtId="0" fontId="7" fillId="0" borderId="6" xfId="0" applyFont="1" applyBorder="1"/>
    <xf numFmtId="0" fontId="7" fillId="0" borderId="7" xfId="0" applyFont="1" applyBorder="1"/>
    <xf numFmtId="0" fontId="7" fillId="0" borderId="8" xfId="0" applyFont="1" applyBorder="1"/>
    <xf numFmtId="0" fontId="8" fillId="0" borderId="0" xfId="0" applyFont="1" applyAlignment="1">
      <alignment vertical="center"/>
    </xf>
    <xf numFmtId="44" fontId="8" fillId="0" borderId="0" xfId="1" applyFont="1" applyFill="1" applyAlignment="1">
      <alignment vertical="center"/>
    </xf>
    <xf numFmtId="44" fontId="4" fillId="0" borderId="0" xfId="1" applyFont="1" applyFill="1"/>
    <xf numFmtId="0" fontId="8" fillId="4" borderId="3" xfId="0" applyFont="1" applyFill="1" applyBorder="1" applyAlignment="1">
      <alignment vertical="center"/>
    </xf>
    <xf numFmtId="44" fontId="8" fillId="4" borderId="3" xfId="1" applyFont="1" applyFill="1" applyBorder="1" applyAlignment="1">
      <alignment vertical="center"/>
    </xf>
    <xf numFmtId="0" fontId="8" fillId="4" borderId="4" xfId="0" applyFont="1" applyFill="1" applyBorder="1" applyAlignment="1">
      <alignment vertical="center"/>
    </xf>
    <xf numFmtId="0" fontId="0" fillId="5" borderId="9" xfId="0" applyFill="1" applyBorder="1"/>
    <xf numFmtId="9" fontId="7" fillId="0" borderId="10" xfId="2" applyFont="1" applyBorder="1" applyAlignment="1">
      <alignment horizontal="center"/>
    </xf>
    <xf numFmtId="9" fontId="7" fillId="0" borderId="0" xfId="2" applyFont="1" applyBorder="1" applyAlignment="1">
      <alignment horizontal="center"/>
    </xf>
    <xf numFmtId="9" fontId="7" fillId="0" borderId="0" xfId="2" applyFont="1" applyFill="1" applyBorder="1" applyAlignment="1">
      <alignment horizontal="center"/>
    </xf>
    <xf numFmtId="9" fontId="7" fillId="0" borderId="7" xfId="2" applyFont="1" applyFill="1" applyBorder="1" applyAlignment="1">
      <alignment horizontal="center"/>
    </xf>
    <xf numFmtId="44" fontId="7" fillId="0" borderId="10" xfId="1" applyFont="1" applyBorder="1" applyAlignment="1">
      <alignment horizontal="right"/>
    </xf>
    <xf numFmtId="44" fontId="7" fillId="0" borderId="0" xfId="1" applyFont="1" applyBorder="1" applyAlignment="1">
      <alignment horizontal="right"/>
    </xf>
    <xf numFmtId="44" fontId="7" fillId="0" borderId="0" xfId="1" applyFont="1" applyFill="1" applyBorder="1" applyAlignment="1">
      <alignment horizontal="right"/>
    </xf>
    <xf numFmtId="44" fontId="7" fillId="0" borderId="7" xfId="1" applyFont="1" applyFill="1" applyBorder="1" applyAlignment="1">
      <alignment horizontal="right"/>
    </xf>
    <xf numFmtId="0" fontId="0" fillId="0" borderId="0" xfId="0" applyAlignment="1">
      <alignment horizontal="right"/>
    </xf>
    <xf numFmtId="0" fontId="7" fillId="0" borderId="0" xfId="0" applyFont="1" applyAlignment="1">
      <alignment horizontal="center"/>
    </xf>
    <xf numFmtId="0" fontId="7" fillId="0" borderId="7" xfId="0" applyFont="1" applyBorder="1" applyAlignment="1">
      <alignment horizontal="center"/>
    </xf>
    <xf numFmtId="0" fontId="4" fillId="5" borderId="0" xfId="0" applyFont="1" applyFill="1" applyAlignment="1">
      <alignment horizontal="center"/>
    </xf>
    <xf numFmtId="0" fontId="4" fillId="5" borderId="6" xfId="0" applyFont="1" applyFill="1" applyBorder="1"/>
    <xf numFmtId="0" fontId="4" fillId="5" borderId="7" xfId="0" applyFont="1" applyFill="1" applyBorder="1" applyAlignment="1">
      <alignment horizontal="center"/>
    </xf>
    <xf numFmtId="0" fontId="4" fillId="5" borderId="8" xfId="0" applyFont="1" applyFill="1" applyBorder="1" applyAlignment="1">
      <alignment horizontal="center"/>
    </xf>
    <xf numFmtId="9" fontId="8" fillId="4" borderId="3" xfId="2" applyFont="1" applyFill="1" applyBorder="1" applyAlignment="1">
      <alignment horizontal="center" vertical="center"/>
    </xf>
    <xf numFmtId="9" fontId="4" fillId="5" borderId="0" xfId="2" applyFont="1" applyFill="1" applyBorder="1" applyAlignment="1">
      <alignment horizontal="center"/>
    </xf>
    <xf numFmtId="9" fontId="0" fillId="0" borderId="0" xfId="2" applyFont="1" applyBorder="1" applyAlignment="1">
      <alignment horizontal="center"/>
    </xf>
    <xf numFmtId="9" fontId="4" fillId="5" borderId="0" xfId="0" applyNumberFormat="1" applyFont="1" applyFill="1" applyAlignment="1">
      <alignment horizontal="center"/>
    </xf>
    <xf numFmtId="9" fontId="0" fillId="0" borderId="0" xfId="2" applyFont="1" applyAlignment="1">
      <alignment horizontal="center"/>
    </xf>
    <xf numFmtId="0" fontId="2" fillId="0" borderId="0" xfId="0" applyFont="1" applyAlignment="1">
      <alignment horizontal="center"/>
    </xf>
    <xf numFmtId="0" fontId="10" fillId="5" borderId="0" xfId="0" applyFont="1" applyFill="1" applyAlignment="1">
      <alignment horizontal="center"/>
    </xf>
    <xf numFmtId="1" fontId="4" fillId="5" borderId="6" xfId="0" applyNumberFormat="1" applyFont="1" applyFill="1" applyBorder="1" applyAlignment="1">
      <alignment horizontal="left"/>
    </xf>
    <xf numFmtId="1" fontId="4" fillId="5" borderId="7" xfId="0" applyNumberFormat="1" applyFont="1" applyFill="1" applyBorder="1"/>
    <xf numFmtId="0" fontId="0" fillId="6" borderId="0" xfId="0" applyFill="1"/>
    <xf numFmtId="164" fontId="0" fillId="0" borderId="0" xfId="0" applyNumberFormat="1"/>
    <xf numFmtId="0" fontId="9" fillId="0" borderId="0" xfId="0" applyFont="1" applyAlignment="1">
      <alignment vertical="center"/>
    </xf>
    <xf numFmtId="1" fontId="4" fillId="0" borderId="0" xfId="0" applyNumberFormat="1" applyFont="1"/>
    <xf numFmtId="0" fontId="0" fillId="0" borderId="1" xfId="0" pivotButton="1" applyBorder="1"/>
    <xf numFmtId="0" fontId="13" fillId="0" borderId="7" xfId="0" applyFont="1" applyBorder="1" applyAlignment="1">
      <alignment vertical="center"/>
    </xf>
    <xf numFmtId="0" fontId="0" fillId="5" borderId="12" xfId="0" applyFill="1" applyBorder="1"/>
    <xf numFmtId="164" fontId="0" fillId="0" borderId="12" xfId="0" applyNumberFormat="1" applyBorder="1"/>
    <xf numFmtId="0" fontId="4" fillId="5" borderId="6" xfId="0" applyFont="1" applyFill="1" applyBorder="1" applyAlignment="1">
      <alignment horizontal="right"/>
    </xf>
    <xf numFmtId="166" fontId="4" fillId="5" borderId="7" xfId="0" applyNumberFormat="1" applyFont="1" applyFill="1" applyBorder="1"/>
    <xf numFmtId="0" fontId="4" fillId="0" borderId="0" xfId="0" applyFont="1" applyAlignment="1">
      <alignment horizontal="center" vertical="center" wrapText="1"/>
    </xf>
    <xf numFmtId="0" fontId="11" fillId="0" borderId="0" xfId="0" applyFont="1"/>
    <xf numFmtId="164" fontId="4" fillId="7" borderId="0" xfId="0" applyNumberFormat="1" applyFont="1" applyFill="1" applyAlignment="1">
      <alignment horizontal="center"/>
    </xf>
    <xf numFmtId="164" fontId="4" fillId="7" borderId="5" xfId="0" applyNumberFormat="1" applyFont="1" applyFill="1" applyBorder="1" applyAlignment="1">
      <alignment horizontal="center"/>
    </xf>
    <xf numFmtId="164" fontId="4" fillId="9" borderId="0" xfId="0" applyNumberFormat="1" applyFont="1" applyFill="1" applyAlignment="1">
      <alignment horizontal="center"/>
    </xf>
    <xf numFmtId="164" fontId="4" fillId="9" borderId="5" xfId="0" applyNumberFormat="1" applyFont="1" applyFill="1" applyBorder="1" applyAlignment="1">
      <alignment horizontal="center"/>
    </xf>
    <xf numFmtId="164" fontId="4" fillId="8" borderId="0" xfId="0" applyNumberFormat="1" applyFont="1" applyFill="1" applyAlignment="1">
      <alignment horizontal="center"/>
    </xf>
    <xf numFmtId="164" fontId="4" fillId="8" borderId="5" xfId="0" applyNumberFormat="1" applyFont="1" applyFill="1" applyBorder="1" applyAlignment="1">
      <alignment horizontal="center"/>
    </xf>
    <xf numFmtId="0" fontId="0" fillId="0" borderId="5" xfId="0" applyBorder="1"/>
    <xf numFmtId="9" fontId="7" fillId="0" borderId="0" xfId="2" applyFont="1" applyFill="1"/>
    <xf numFmtId="164" fontId="0" fillId="11" borderId="0" xfId="0" applyNumberFormat="1" applyFill="1" applyAlignment="1">
      <alignment horizontal="center"/>
    </xf>
    <xf numFmtId="164" fontId="0" fillId="11" borderId="5" xfId="0" applyNumberFormat="1" applyFill="1" applyBorder="1" applyAlignment="1">
      <alignment horizontal="center"/>
    </xf>
    <xf numFmtId="164" fontId="0" fillId="10" borderId="0" xfId="0" applyNumberFormat="1" applyFill="1" applyAlignment="1">
      <alignment horizontal="center"/>
    </xf>
    <xf numFmtId="164" fontId="0" fillId="10" borderId="5" xfId="0" applyNumberFormat="1" applyFill="1" applyBorder="1" applyAlignment="1">
      <alignment horizontal="center"/>
    </xf>
    <xf numFmtId="9" fontId="7" fillId="0" borderId="0" xfId="2" applyFont="1" applyAlignment="1">
      <alignment horizontal="center"/>
    </xf>
    <xf numFmtId="44" fontId="7" fillId="0" borderId="0" xfId="1" applyFont="1"/>
    <xf numFmtId="37" fontId="7" fillId="0" borderId="9" xfId="1" applyNumberFormat="1" applyFont="1" applyBorder="1" applyAlignment="1">
      <alignment horizontal="center"/>
    </xf>
    <xf numFmtId="164" fontId="4" fillId="5" borderId="7" xfId="0" applyNumberFormat="1" applyFont="1" applyFill="1" applyBorder="1"/>
    <xf numFmtId="164" fontId="4" fillId="5" borderId="8" xfId="0" applyNumberFormat="1" applyFont="1" applyFill="1" applyBorder="1"/>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0" fillId="0" borderId="1" xfId="0" applyBorder="1" applyAlignment="1">
      <alignment wrapText="1"/>
    </xf>
    <xf numFmtId="0" fontId="0" fillId="7" borderId="12" xfId="0" applyFill="1" applyBorder="1" applyAlignment="1">
      <alignment vertical="center"/>
    </xf>
    <xf numFmtId="0" fontId="4" fillId="7" borderId="12" xfId="0" applyFont="1" applyFill="1" applyBorder="1" applyAlignment="1">
      <alignment horizontal="right"/>
    </xf>
    <xf numFmtId="164" fontId="4" fillId="7" borderId="12" xfId="0" applyNumberFormat="1" applyFont="1" applyFill="1" applyBorder="1" applyAlignment="1">
      <alignment horizontal="right"/>
    </xf>
    <xf numFmtId="5" fontId="0" fillId="0" borderId="0" xfId="0" applyNumberFormat="1"/>
    <xf numFmtId="0" fontId="0" fillId="0" borderId="18" xfId="0" applyBorder="1"/>
    <xf numFmtId="44" fontId="0" fillId="0" borderId="19" xfId="1" applyFont="1" applyBorder="1"/>
    <xf numFmtId="0" fontId="0" fillId="0" borderId="19" xfId="0" applyBorder="1"/>
    <xf numFmtId="9" fontId="0" fillId="0" borderId="19" xfId="2" applyFont="1" applyBorder="1" applyAlignment="1">
      <alignment horizontal="center"/>
    </xf>
    <xf numFmtId="0" fontId="0" fillId="0" borderId="20" xfId="0" applyBorder="1" applyAlignment="1">
      <alignment wrapText="1"/>
    </xf>
    <xf numFmtId="0" fontId="0" fillId="0" borderId="21" xfId="0" applyBorder="1"/>
    <xf numFmtId="0" fontId="0" fillId="0" borderId="22" xfId="0" applyBorder="1" applyAlignment="1">
      <alignment wrapText="1"/>
    </xf>
    <xf numFmtId="0" fontId="0" fillId="0" borderId="23" xfId="0" applyBorder="1"/>
    <xf numFmtId="0" fontId="2" fillId="0" borderId="24" xfId="0" applyFont="1" applyBorder="1" applyAlignment="1">
      <alignment horizontal="center"/>
    </xf>
    <xf numFmtId="44" fontId="0" fillId="0" borderId="24" xfId="1" applyFont="1" applyBorder="1"/>
    <xf numFmtId="0" fontId="0" fillId="0" borderId="24" xfId="0" applyBorder="1"/>
    <xf numFmtId="9" fontId="0" fillId="0" borderId="24" xfId="2" applyFont="1" applyBorder="1" applyAlignment="1">
      <alignment horizontal="center"/>
    </xf>
    <xf numFmtId="0" fontId="0" fillId="0" borderId="25" xfId="0" applyBorder="1" applyAlignment="1">
      <alignment wrapText="1"/>
    </xf>
    <xf numFmtId="0" fontId="7" fillId="0" borderId="21" xfId="0" applyFont="1" applyBorder="1"/>
    <xf numFmtId="9" fontId="0" fillId="0" borderId="0" xfId="2" applyFont="1" applyBorder="1" applyAlignment="1">
      <alignment horizontal="center" wrapText="1"/>
    </xf>
    <xf numFmtId="0" fontId="2" fillId="0" borderId="19" xfId="0" applyFont="1" applyBorder="1" applyAlignment="1">
      <alignment horizontal="center"/>
    </xf>
    <xf numFmtId="0" fontId="8" fillId="0" borderId="0" xfId="0" applyFont="1" applyAlignment="1">
      <alignment vertical="center" textRotation="180" wrapText="1"/>
    </xf>
    <xf numFmtId="0" fontId="4" fillId="0" borderId="0" xfId="0" applyFont="1" applyAlignment="1">
      <alignment textRotation="180" wrapText="1"/>
    </xf>
    <xf numFmtId="0" fontId="0" fillId="0" borderId="0" xfId="0" applyAlignment="1">
      <alignment textRotation="180" wrapText="1"/>
    </xf>
    <xf numFmtId="0" fontId="12" fillId="0" borderId="26" xfId="0" applyFont="1" applyBorder="1"/>
    <xf numFmtId="0" fontId="2" fillId="0" borderId="27" xfId="0" applyFont="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44" fontId="4" fillId="5" borderId="0" xfId="1" applyFont="1" applyFill="1"/>
    <xf numFmtId="0" fontId="3" fillId="0" borderId="15" xfId="0" applyFont="1" applyBorder="1" applyAlignment="1">
      <alignment horizontal="center"/>
    </xf>
    <xf numFmtId="0" fontId="3" fillId="0" borderId="13" xfId="0" applyFont="1" applyBorder="1" applyAlignment="1">
      <alignment horizontal="center"/>
    </xf>
    <xf numFmtId="0" fontId="3" fillId="0" borderId="30" xfId="0" applyFont="1" applyBorder="1" applyAlignment="1">
      <alignment horizontal="center"/>
    </xf>
    <xf numFmtId="0" fontId="3" fillId="0" borderId="29" xfId="0" applyFont="1" applyBorder="1" applyAlignment="1">
      <alignment horizontal="center"/>
    </xf>
    <xf numFmtId="0" fontId="0" fillId="0" borderId="15" xfId="0" applyBorder="1" applyAlignment="1">
      <alignment horizontal="center"/>
    </xf>
    <xf numFmtId="0" fontId="0" fillId="0" borderId="13" xfId="0" applyBorder="1" applyAlignment="1">
      <alignment horizontal="center"/>
    </xf>
    <xf numFmtId="0" fontId="0" fillId="0" borderId="30" xfId="0" applyBorder="1" applyAlignment="1">
      <alignment horizontal="center"/>
    </xf>
    <xf numFmtId="0" fontId="0" fillId="0" borderId="29"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7" fillId="0" borderId="0" xfId="1" applyNumberFormat="1" applyFont="1"/>
    <xf numFmtId="44" fontId="0" fillId="0" borderId="15" xfId="1" applyFont="1" applyBorder="1"/>
    <xf numFmtId="0" fontId="7" fillId="0" borderId="18" xfId="0" applyFont="1" applyBorder="1"/>
    <xf numFmtId="44" fontId="0" fillId="0" borderId="1" xfId="1" applyFont="1" applyBorder="1"/>
    <xf numFmtId="37" fontId="7" fillId="0" borderId="1" xfId="1" applyNumberFormat="1" applyFont="1" applyBorder="1" applyAlignment="1">
      <alignment horizontal="center"/>
    </xf>
    <xf numFmtId="44" fontId="4" fillId="7" borderId="26" xfId="1" applyFont="1" applyFill="1" applyBorder="1" applyAlignment="1">
      <alignment horizontal="center"/>
    </xf>
    <xf numFmtId="44" fontId="4" fillId="7" borderId="27" xfId="1" applyFont="1" applyFill="1" applyBorder="1" applyAlignment="1">
      <alignment horizontal="center"/>
    </xf>
    <xf numFmtId="0" fontId="4" fillId="7" borderId="27" xfId="0" applyFont="1" applyFill="1" applyBorder="1"/>
    <xf numFmtId="9" fontId="4" fillId="7" borderId="28" xfId="2" applyFont="1" applyFill="1" applyBorder="1" applyAlignment="1">
      <alignment horizontal="center"/>
    </xf>
    <xf numFmtId="37" fontId="7" fillId="0" borderId="21" xfId="1" applyNumberFormat="1" applyFont="1" applyBorder="1" applyAlignment="1">
      <alignment horizontal="center"/>
    </xf>
    <xf numFmtId="5" fontId="7" fillId="0" borderId="33" xfId="1" applyNumberFormat="1" applyFont="1" applyBorder="1" applyAlignment="1">
      <alignment horizontal="center"/>
    </xf>
    <xf numFmtId="37" fontId="7" fillId="0" borderId="23" xfId="1" applyNumberFormat="1" applyFont="1" applyBorder="1" applyAlignment="1">
      <alignment horizontal="center"/>
    </xf>
    <xf numFmtId="37" fontId="7" fillId="0" borderId="34" xfId="1" applyNumberFormat="1" applyFont="1" applyBorder="1" applyAlignment="1">
      <alignment horizontal="center"/>
    </xf>
    <xf numFmtId="5" fontId="7" fillId="0" borderId="35" xfId="1" applyNumberFormat="1" applyFont="1" applyBorder="1" applyAlignment="1">
      <alignment horizontal="center"/>
    </xf>
    <xf numFmtId="44" fontId="4" fillId="7" borderId="36" xfId="1" applyFont="1" applyFill="1" applyBorder="1" applyAlignment="1">
      <alignment horizontal="center"/>
    </xf>
    <xf numFmtId="44" fontId="4" fillId="7" borderId="37" xfId="1" applyFont="1" applyFill="1" applyBorder="1" applyAlignment="1">
      <alignment horizontal="center"/>
    </xf>
    <xf numFmtId="0" fontId="4" fillId="7" borderId="37" xfId="0" applyFont="1" applyFill="1" applyBorder="1"/>
    <xf numFmtId="9" fontId="4" fillId="7" borderId="38" xfId="2" applyFont="1" applyFill="1" applyBorder="1" applyAlignment="1">
      <alignment horizontal="center"/>
    </xf>
    <xf numFmtId="37" fontId="7" fillId="0" borderId="39" xfId="1" applyNumberFormat="1" applyFont="1" applyBorder="1" applyAlignment="1">
      <alignment horizontal="center"/>
    </xf>
    <xf numFmtId="5" fontId="7" fillId="0" borderId="40" xfId="1" applyNumberFormat="1" applyFont="1" applyBorder="1" applyAlignment="1">
      <alignment horizontal="center"/>
    </xf>
    <xf numFmtId="44" fontId="1" fillId="0" borderId="0" xfId="1" applyFont="1" applyBorder="1"/>
    <xf numFmtId="9" fontId="1" fillId="0" borderId="19" xfId="2" applyFont="1" applyBorder="1" applyAlignment="1">
      <alignment horizontal="center"/>
    </xf>
    <xf numFmtId="44" fontId="1" fillId="0" borderId="19" xfId="1" applyFont="1" applyBorder="1"/>
    <xf numFmtId="44" fontId="1" fillId="0" borderId="24" xfId="1" applyFont="1" applyBorder="1"/>
    <xf numFmtId="9" fontId="1" fillId="0" borderId="24" xfId="2" applyFont="1" applyBorder="1" applyAlignment="1">
      <alignment horizontal="center"/>
    </xf>
    <xf numFmtId="0" fontId="3" fillId="0" borderId="0" xfId="0" applyFont="1" applyAlignment="1">
      <alignment horizontal="center"/>
    </xf>
    <xf numFmtId="0" fontId="0" fillId="0" borderId="0" xfId="0" applyAlignment="1">
      <alignment wrapText="1"/>
    </xf>
    <xf numFmtId="0" fontId="0" fillId="0" borderId="41" xfId="0" applyBorder="1"/>
    <xf numFmtId="0" fontId="0" fillId="0" borderId="41" xfId="0" applyBorder="1" applyAlignment="1">
      <alignment horizontal="center"/>
    </xf>
    <xf numFmtId="44" fontId="1" fillId="0" borderId="41" xfId="1" applyFont="1" applyBorder="1"/>
    <xf numFmtId="9" fontId="1" fillId="0" borderId="41" xfId="2" applyFont="1" applyBorder="1" applyAlignment="1">
      <alignment horizontal="center"/>
    </xf>
    <xf numFmtId="0" fontId="0" fillId="0" borderId="41" xfId="0" applyBorder="1" applyAlignment="1">
      <alignment wrapText="1"/>
    </xf>
    <xf numFmtId="0" fontId="2" fillId="0" borderId="41" xfId="0" applyFont="1" applyBorder="1" applyAlignment="1">
      <alignment horizontal="center"/>
    </xf>
    <xf numFmtId="0" fontId="0" fillId="0" borderId="0" xfId="0" applyNumberFormat="1" applyFont="1" applyFill="1" applyBorder="1"/>
    <xf numFmtId="164" fontId="0" fillId="0" borderId="0" xfId="0" applyNumberFormat="1" applyFont="1" applyFill="1" applyBorder="1"/>
    <xf numFmtId="164" fontId="0" fillId="0" borderId="5" xfId="0" applyNumberFormat="1" applyFont="1" applyFill="1" applyBorder="1"/>
    <xf numFmtId="164" fontId="0" fillId="0" borderId="13" xfId="0" applyNumberFormat="1" applyFont="1" applyFill="1" applyBorder="1"/>
    <xf numFmtId="0" fontId="0" fillId="0" borderId="14" xfId="0" applyFont="1" applyFill="1" applyBorder="1" applyAlignment="1">
      <alignment horizontal="left"/>
    </xf>
    <xf numFmtId="167" fontId="0" fillId="0" borderId="0" xfId="0" applyNumberFormat="1" applyFont="1" applyFill="1" applyBorder="1"/>
    <xf numFmtId="0" fontId="0" fillId="0" borderId="0" xfId="0" applyBorder="1"/>
    <xf numFmtId="0" fontId="0" fillId="0" borderId="22" xfId="0" applyFill="1" applyBorder="1" applyAlignment="1">
      <alignment wrapText="1"/>
    </xf>
    <xf numFmtId="0" fontId="0" fillId="0" borderId="22" xfId="0" applyFont="1" applyFill="1" applyBorder="1" applyAlignment="1">
      <alignment wrapText="1"/>
    </xf>
    <xf numFmtId="0" fontId="2" fillId="0" borderId="13" xfId="0" applyFont="1" applyBorder="1" applyAlignment="1">
      <alignment horizontal="center"/>
    </xf>
    <xf numFmtId="0" fontId="3" fillId="0" borderId="15" xfId="0" applyFont="1" applyFill="1" applyBorder="1" applyAlignment="1">
      <alignment horizontal="center"/>
    </xf>
    <xf numFmtId="0" fontId="3" fillId="0" borderId="13" xfId="0" applyNumberFormat="1" applyFont="1" applyFill="1" applyBorder="1" applyAlignment="1">
      <alignment horizontal="center"/>
    </xf>
    <xf numFmtId="44" fontId="0" fillId="0" borderId="15" xfId="1" applyNumberFormat="1" applyFont="1" applyBorder="1"/>
    <xf numFmtId="44" fontId="0" fillId="0" borderId="0" xfId="1" applyNumberFormat="1" applyFont="1" applyBorder="1"/>
    <xf numFmtId="0" fontId="0" fillId="0" borderId="22" xfId="0" applyNumberFormat="1" applyBorder="1" applyAlignment="1">
      <alignment wrapText="1"/>
    </xf>
    <xf numFmtId="0" fontId="0" fillId="0" borderId="0" xfId="0" applyNumberFormat="1" applyBorder="1"/>
    <xf numFmtId="0" fontId="2" fillId="0" borderId="0" xfId="0" applyFont="1" applyBorder="1" applyAlignment="1">
      <alignment horizontal="center"/>
    </xf>
    <xf numFmtId="0" fontId="16" fillId="0" borderId="32" xfId="0" applyFont="1" applyBorder="1" applyAlignment="1">
      <alignment horizontal="center"/>
    </xf>
    <xf numFmtId="0" fontId="17" fillId="0" borderId="31" xfId="0" applyFont="1" applyBorder="1" applyAlignment="1">
      <alignment horizontal="center"/>
    </xf>
    <xf numFmtId="0" fontId="17" fillId="0" borderId="32" xfId="0" applyFont="1" applyBorder="1" applyAlignment="1">
      <alignment horizontal="center"/>
    </xf>
    <xf numFmtId="44" fontId="0" fillId="0" borderId="31" xfId="1" applyFont="1" applyBorder="1"/>
    <xf numFmtId="0" fontId="15" fillId="5" borderId="16" xfId="0" applyFont="1" applyFill="1" applyBorder="1" applyAlignment="1">
      <alignment horizontal="center" vertical="center" textRotation="180" wrapText="1"/>
    </xf>
    <xf numFmtId="0" fontId="15" fillId="5" borderId="14" xfId="0" applyFont="1" applyFill="1" applyBorder="1" applyAlignment="1">
      <alignment horizontal="center" vertical="center" textRotation="180" wrapText="1"/>
    </xf>
    <xf numFmtId="0" fontId="15" fillId="5" borderId="17" xfId="0" applyFont="1" applyFill="1" applyBorder="1" applyAlignment="1">
      <alignment horizontal="center" vertical="center" textRotation="180" wrapText="1"/>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15" fillId="5" borderId="22" xfId="0" applyFont="1" applyFill="1" applyBorder="1" applyAlignment="1">
      <alignment horizontal="center" vertical="center" textRotation="180" wrapText="1"/>
    </xf>
    <xf numFmtId="0" fontId="8" fillId="4" borderId="4" xfId="0" applyFont="1" applyFill="1" applyBorder="1" applyAlignment="1">
      <alignment horizontal="center" vertical="center"/>
    </xf>
    <xf numFmtId="0" fontId="3" fillId="0" borderId="0" xfId="0" applyFont="1" applyAlignment="1">
      <alignment horizontal="center" vertical="top" wrapText="1"/>
    </xf>
    <xf numFmtId="0" fontId="13" fillId="4" borderId="12" xfId="0" applyFont="1" applyFill="1" applyBorder="1" applyAlignment="1">
      <alignment horizontal="center" vertical="center"/>
    </xf>
    <xf numFmtId="0" fontId="13" fillId="0" borderId="0" xfId="0" applyFont="1" applyAlignment="1">
      <alignment horizontal="center" vertical="center"/>
    </xf>
    <xf numFmtId="0" fontId="4" fillId="4" borderId="9" xfId="0" applyFon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3" fillId="0" borderId="16" xfId="0" applyFont="1" applyBorder="1" applyAlignment="1">
      <alignment horizontal="left" wrapText="1"/>
    </xf>
    <xf numFmtId="0" fontId="3" fillId="0" borderId="14" xfId="0" applyFont="1" applyBorder="1" applyAlignment="1">
      <alignment horizontal="left" wrapText="1"/>
    </xf>
    <xf numFmtId="0" fontId="3" fillId="0" borderId="17" xfId="0" applyFont="1" applyBorder="1" applyAlignment="1">
      <alignment horizontal="left" wrapText="1"/>
    </xf>
  </cellXfs>
  <cellStyles count="121">
    <cellStyle name="Currency" xfId="1" builtinId="4"/>
    <cellStyle name="Followed Hyperlink" xfId="42" builtinId="9" hidden="1"/>
    <cellStyle name="Followed Hyperlink" xfId="46" builtinId="9" hidden="1"/>
    <cellStyle name="Followed Hyperlink" xfId="52" builtinId="9" hidden="1"/>
    <cellStyle name="Followed Hyperlink" xfId="58" builtinId="9" hidden="1"/>
    <cellStyle name="Followed Hyperlink" xfId="62" builtinId="9" hidden="1"/>
    <cellStyle name="Followed Hyperlink" xfId="64" builtinId="9" hidden="1"/>
    <cellStyle name="Followed Hyperlink" xfId="48" builtinId="9" hidden="1"/>
    <cellStyle name="Followed Hyperlink" xfId="32" builtinId="9" hidden="1"/>
    <cellStyle name="Followed Hyperlink" xfId="12" builtinId="9" hidden="1"/>
    <cellStyle name="Followed Hyperlink" xfId="18" builtinId="9" hidden="1"/>
    <cellStyle name="Followed Hyperlink" xfId="22" builtinId="9" hidden="1"/>
    <cellStyle name="Followed Hyperlink" xfId="8" builtinId="9" hidden="1"/>
    <cellStyle name="Followed Hyperlink" xfId="6" builtinId="9" hidden="1"/>
    <cellStyle name="Followed Hyperlink" xfId="4" builtinId="9" hidden="1"/>
    <cellStyle name="Followed Hyperlink" xfId="10" builtinId="9" hidden="1"/>
    <cellStyle name="Followed Hyperlink" xfId="16" builtinId="9" hidden="1"/>
    <cellStyle name="Followed Hyperlink" xfId="20" builtinId="9" hidden="1"/>
    <cellStyle name="Followed Hyperlink" xfId="14" builtinId="9" hidden="1"/>
    <cellStyle name="Followed Hyperlink" xfId="24" builtinId="9" hidden="1"/>
    <cellStyle name="Followed Hyperlink" xfId="40" builtinId="9" hidden="1"/>
    <cellStyle name="Followed Hyperlink" xfId="56" builtinId="9" hidden="1"/>
    <cellStyle name="Followed Hyperlink" xfId="66" builtinId="9" hidden="1"/>
    <cellStyle name="Followed Hyperlink" xfId="60" builtinId="9" hidden="1"/>
    <cellStyle name="Followed Hyperlink" xfId="54" builtinId="9" hidden="1"/>
    <cellStyle name="Followed Hyperlink" xfId="50" builtinId="9" hidden="1"/>
    <cellStyle name="Followed Hyperlink" xfId="44" builtinId="9" hidden="1"/>
    <cellStyle name="Followed Hyperlink" xfId="38" builtinId="9" hidden="1"/>
    <cellStyle name="Followed Hyperlink" xfId="114" builtinId="9" hidden="1"/>
    <cellStyle name="Followed Hyperlink" xfId="118" builtinId="9" hidden="1"/>
    <cellStyle name="Followed Hyperlink" xfId="120" builtinId="9" hidden="1"/>
    <cellStyle name="Followed Hyperlink" xfId="112" builtinId="9" hidden="1"/>
    <cellStyle name="Followed Hyperlink" xfId="108" builtinId="9" hidden="1"/>
    <cellStyle name="Followed Hyperlink" xfId="104" builtinId="9" hidden="1"/>
    <cellStyle name="Followed Hyperlink" xfId="96" builtinId="9" hidden="1"/>
    <cellStyle name="Followed Hyperlink" xfId="92" builtinId="9" hidden="1"/>
    <cellStyle name="Followed Hyperlink" xfId="88" builtinId="9" hidden="1"/>
    <cellStyle name="Followed Hyperlink" xfId="80" builtinId="9" hidden="1"/>
    <cellStyle name="Followed Hyperlink" xfId="76" builtinId="9" hidden="1"/>
    <cellStyle name="Followed Hyperlink" xfId="72" builtinId="9" hidden="1"/>
    <cellStyle name="Followed Hyperlink" xfId="26" builtinId="9" hidden="1"/>
    <cellStyle name="Followed Hyperlink" xfId="28" builtinId="9" hidden="1"/>
    <cellStyle name="Followed Hyperlink" xfId="30" builtinId="9" hidden="1"/>
    <cellStyle name="Followed Hyperlink" xfId="36" builtinId="9" hidden="1"/>
    <cellStyle name="Followed Hyperlink" xfId="34" builtinId="9" hidden="1"/>
    <cellStyle name="Followed Hyperlink" xfId="68" builtinId="9" hidden="1"/>
    <cellStyle name="Followed Hyperlink" xfId="84" builtinId="9" hidden="1"/>
    <cellStyle name="Followed Hyperlink" xfId="100" builtinId="9" hidden="1"/>
    <cellStyle name="Followed Hyperlink" xfId="116" builtinId="9" hidden="1"/>
    <cellStyle name="Followed Hyperlink" xfId="110" builtinId="9" hidden="1"/>
    <cellStyle name="Followed Hyperlink" xfId="86" builtinId="9" hidden="1"/>
    <cellStyle name="Followed Hyperlink" xfId="90" builtinId="9" hidden="1"/>
    <cellStyle name="Followed Hyperlink" xfId="98" builtinId="9" hidden="1"/>
    <cellStyle name="Followed Hyperlink" xfId="102" builtinId="9" hidden="1"/>
    <cellStyle name="Followed Hyperlink" xfId="106" builtinId="9" hidden="1"/>
    <cellStyle name="Followed Hyperlink" xfId="94" builtinId="9" hidden="1"/>
    <cellStyle name="Followed Hyperlink" xfId="78" builtinId="9" hidden="1"/>
    <cellStyle name="Followed Hyperlink" xfId="82" builtinId="9" hidden="1"/>
    <cellStyle name="Followed Hyperlink" xfId="74" builtinId="9" hidden="1"/>
    <cellStyle name="Followed Hyperlink" xfId="70" builtinId="9" hidden="1"/>
    <cellStyle name="Hyperlink" xfId="41" builtinId="8" hidden="1"/>
    <cellStyle name="Hyperlink" xfId="47" builtinId="8" hidden="1"/>
    <cellStyle name="Hyperlink" xfId="49" builtinId="8" hidden="1"/>
    <cellStyle name="Hyperlink" xfId="51" builtinId="8" hidden="1"/>
    <cellStyle name="Hyperlink" xfId="55" builtinId="8" hidden="1"/>
    <cellStyle name="Hyperlink" xfId="57" builtinId="8" hidden="1"/>
    <cellStyle name="Hyperlink" xfId="59" builtinId="8" hidden="1"/>
    <cellStyle name="Hyperlink" xfId="65" builtinId="8" hidden="1"/>
    <cellStyle name="Hyperlink" xfId="61" builtinId="8" hidden="1"/>
    <cellStyle name="Hyperlink" xfId="45" builtinId="8" hidden="1"/>
    <cellStyle name="Hyperlink" xfId="15" builtinId="8" hidden="1"/>
    <cellStyle name="Hyperlink" xfId="17" builtinId="8" hidden="1"/>
    <cellStyle name="Hyperlink" xfId="19" builtinId="8" hidden="1"/>
    <cellStyle name="Hyperlink" xfId="23" builtinId="8" hidden="1"/>
    <cellStyle name="Hyperlink" xfId="25" builtinId="8" hidden="1"/>
    <cellStyle name="Hyperlink" xfId="27" builtinId="8" hidden="1"/>
    <cellStyle name="Hyperlink" xfId="11" builtinId="8" hidden="1"/>
    <cellStyle name="Hyperlink" xfId="13" builtinId="8" hidden="1"/>
    <cellStyle name="Hyperlink" xfId="5" builtinId="8" hidden="1"/>
    <cellStyle name="Hyperlink" xfId="3" builtinId="8" hidden="1"/>
    <cellStyle name="Hyperlink" xfId="7" builtinId="8" hidden="1"/>
    <cellStyle name="Hyperlink" xfId="9" builtinId="8" hidden="1"/>
    <cellStyle name="Hyperlink" xfId="21" builtinId="8" hidden="1"/>
    <cellStyle name="Hyperlink" xfId="29" builtinId="8" hidden="1"/>
    <cellStyle name="Hyperlink" xfId="63" builtinId="8" hidden="1"/>
    <cellStyle name="Hyperlink" xfId="53" builtinId="8" hidden="1"/>
    <cellStyle name="Hyperlink" xfId="43" builtinId="8" hidden="1"/>
    <cellStyle name="Hyperlink" xfId="105" builtinId="8" hidden="1"/>
    <cellStyle name="Hyperlink" xfId="107" builtinId="8" hidden="1"/>
    <cellStyle name="Hyperlink" xfId="111" builtinId="8" hidden="1"/>
    <cellStyle name="Hyperlink" xfId="113" builtinId="8" hidden="1"/>
    <cellStyle name="Hyperlink" xfId="115" builtinId="8" hidden="1"/>
    <cellStyle name="Hyperlink" xfId="119" builtinId="8" hidden="1"/>
    <cellStyle name="Hyperlink" xfId="117" builtinId="8" hidden="1"/>
    <cellStyle name="Hyperlink" xfId="101" builtinId="8" hidden="1"/>
    <cellStyle name="Hyperlink" xfId="93" builtinId="8" hidden="1"/>
    <cellStyle name="Hyperlink" xfId="85" builtinId="8" hidden="1"/>
    <cellStyle name="Hyperlink" xfId="77" builtinId="8" hidden="1"/>
    <cellStyle name="Hyperlink" xfId="69" builtinId="8" hidden="1"/>
    <cellStyle name="Hyperlink" xfId="31" builtinId="8" hidden="1"/>
    <cellStyle name="Hyperlink" xfId="33" builtinId="8" hidden="1"/>
    <cellStyle name="Hyperlink" xfId="37" builtinId="8" hidden="1"/>
    <cellStyle name="Hyperlink" xfId="39" builtinId="8" hidden="1"/>
    <cellStyle name="Hyperlink" xfId="35" builtinId="8" hidden="1"/>
    <cellStyle name="Hyperlink" xfId="109" builtinId="8" hidden="1"/>
    <cellStyle name="Hyperlink" xfId="103" builtinId="8" hidden="1"/>
    <cellStyle name="Hyperlink" xfId="83" builtinId="8" hidden="1"/>
    <cellStyle name="Hyperlink" xfId="87" builtinId="8" hidden="1"/>
    <cellStyle name="Hyperlink" xfId="89" builtinId="8" hidden="1"/>
    <cellStyle name="Hyperlink" xfId="91" builtinId="8" hidden="1"/>
    <cellStyle name="Hyperlink" xfId="95" builtinId="8" hidden="1"/>
    <cellStyle name="Hyperlink" xfId="97" builtinId="8" hidden="1"/>
    <cellStyle name="Hyperlink" xfId="99" builtinId="8" hidden="1"/>
    <cellStyle name="Hyperlink" xfId="75" builtinId="8" hidden="1"/>
    <cellStyle name="Hyperlink" xfId="79" builtinId="8" hidden="1"/>
    <cellStyle name="Hyperlink" xfId="81" builtinId="8" hidden="1"/>
    <cellStyle name="Hyperlink" xfId="71" builtinId="8" hidden="1"/>
    <cellStyle name="Hyperlink" xfId="73" builtinId="8" hidden="1"/>
    <cellStyle name="Hyperlink" xfId="67" builtinId="8" hidden="1"/>
    <cellStyle name="Normal" xfId="0" builtinId="0"/>
    <cellStyle name="Percent" xfId="2" builtinId="5"/>
  </cellStyles>
  <dxfs count="223">
    <dxf>
      <font>
        <strike val="0"/>
        <outline val="0"/>
        <shadow val="0"/>
        <u val="none"/>
        <vertAlign val="baseline"/>
        <sz val="11"/>
        <color auto="1"/>
        <name val="Calibri"/>
        <scheme val="minor"/>
      </font>
      <fill>
        <patternFill patternType="none">
          <fgColor indexed="64"/>
          <bgColor indexed="65"/>
        </patternFill>
      </fill>
      <border diagonalUp="0" diagonalDown="0" outline="0">
        <left/>
        <right style="thick">
          <color auto="1"/>
        </right>
        <top/>
        <bottom/>
      </border>
    </dxf>
    <dxf>
      <font>
        <strike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strike val="0"/>
        <outline val="0"/>
        <shadow val="0"/>
        <u val="none"/>
        <vertAlign val="baseline"/>
        <sz val="11"/>
        <color auto="1"/>
        <name val="Calibri"/>
        <scheme val="minor"/>
      </font>
      <alignment horizontal="center" vertical="bottom" textRotation="0" wrapText="0" indent="0" justifyLastLine="0" shrinkToFit="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right" vertical="bottom" textRotation="0" wrapText="0" indent="0" justifyLastLine="0" shrinkToFit="0"/>
    </dxf>
    <dxf>
      <font>
        <strike val="0"/>
        <outline val="0"/>
        <shadow val="0"/>
        <u val="none"/>
        <vertAlign val="baseline"/>
        <sz val="11"/>
        <color auto="1"/>
        <name val="Calibri"/>
        <scheme val="minor"/>
      </font>
      <fill>
        <patternFill patternType="none">
          <fgColor indexed="64"/>
          <bgColor indexed="65"/>
        </patternFill>
      </fill>
      <border diagonalUp="0" diagonalDown="0" outline="0">
        <left style="thick">
          <color auto="1"/>
        </left>
        <right/>
        <top/>
        <bottom/>
      </border>
    </dxf>
    <dxf>
      <border diagonalUp="0" diagonalDown="0">
        <left/>
        <right/>
        <top/>
        <bottom/>
      </border>
    </dxf>
    <dxf>
      <font>
        <strike val="0"/>
        <outline val="0"/>
        <shadow val="0"/>
        <u val="none"/>
        <vertAlign val="baseline"/>
        <sz val="11"/>
        <color auto="1"/>
        <name val="Calibri"/>
        <scheme val="minor"/>
      </font>
    </dxf>
    <dxf>
      <border>
        <bottom style="thick">
          <color auto="1"/>
        </bottom>
      </border>
    </dxf>
    <dxf>
      <font>
        <b val="0"/>
        <i val="0"/>
        <strike val="0"/>
        <condense val="0"/>
        <extend val="0"/>
        <outline val="0"/>
        <shadow val="0"/>
        <u val="none"/>
        <vertAlign val="baseline"/>
        <sz val="11"/>
        <color theme="0"/>
        <name val="Calibri"/>
        <scheme val="minor"/>
      </font>
      <fill>
        <patternFill patternType="solid">
          <fgColor indexed="64"/>
          <bgColor theme="9" tint="-0.249977111117893"/>
        </patternFill>
      </fill>
      <border diagonalUp="0" diagonalDown="0">
        <left/>
        <right/>
        <top/>
        <bottom/>
        <vertical/>
        <horizontal/>
      </border>
    </dxf>
    <dxf>
      <font>
        <strike val="0"/>
        <outline val="0"/>
        <shadow val="0"/>
        <u val="none"/>
        <vertAlign val="baseline"/>
        <sz val="11"/>
        <color theme="0"/>
        <name val="Calibri"/>
        <scheme val="minor"/>
      </font>
      <fill>
        <patternFill patternType="none">
          <fgColor indexed="64"/>
          <bgColor auto="1"/>
        </patternFill>
      </fill>
    </dxf>
    <dxf>
      <fill>
        <patternFill patternType="none">
          <fgColor indexed="64"/>
          <bgColor auto="1"/>
        </patternFill>
      </fill>
    </dxf>
    <dxf>
      <numFmt numFmtId="0" formatCode="General"/>
    </dxf>
    <dxf>
      <font>
        <strike val="0"/>
        <outline val="0"/>
        <shadow val="0"/>
        <u val="none"/>
        <vertAlign val="baseline"/>
        <sz val="11"/>
        <color theme="0"/>
        <name val="Calibri"/>
        <scheme val="minor"/>
      </font>
      <fill>
        <patternFill patternType="solid">
          <fgColor indexed="64"/>
          <bgColor theme="9" tint="-0.249977111117893"/>
        </patternFill>
      </fill>
    </dxf>
    <dxf>
      <fill>
        <patternFill>
          <bgColor theme="9"/>
        </patternFill>
      </fill>
    </dxf>
    <dxf>
      <fill>
        <patternFill>
          <bgColor theme="9"/>
        </patternFill>
      </fill>
    </dxf>
    <dxf>
      <fill>
        <patternFill>
          <bgColor theme="9"/>
        </patternFill>
      </fill>
    </dxf>
    <dxf>
      <alignment horizontal="general"/>
    </dxf>
    <dxf>
      <alignment horizontal="center"/>
    </dxf>
    <dxf>
      <alignment horizontal="general"/>
    </dxf>
    <dxf>
      <alignment horizontal="center"/>
    </dxf>
    <dxf>
      <alignment horizontal="general"/>
    </dxf>
    <dxf>
      <alignment vertical="center"/>
    </dxf>
    <dxf>
      <fill>
        <patternFill>
          <bgColor theme="9" tint="-0.249977111117893"/>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font>
    </dxf>
    <dxf>
      <font>
        <color theme="0"/>
      </font>
    </dxf>
    <dxf>
      <alignment horizontal="right"/>
    </dxf>
    <dxf>
      <alignment horizontal="right"/>
    </dxf>
    <dxf>
      <alignment horizontal="center"/>
    </dxf>
    <dxf>
      <alignment horizontal="center"/>
    </dxf>
    <dxf>
      <alignment horizontal="center"/>
    </dxf>
    <dxf>
      <fill>
        <patternFill>
          <bgColor theme="9" tint="-0.249977111117893"/>
        </patternFill>
      </fill>
    </dxf>
    <dxf>
      <fill>
        <patternFill>
          <bgColor theme="9" tint="-0.249977111117893"/>
        </patternFill>
      </fill>
    </dxf>
    <dxf>
      <fill>
        <patternFill>
          <bgColor theme="9" tint="-0.249977111117893"/>
        </patternFill>
      </fill>
    </dxf>
    <dxf>
      <fill>
        <patternFill>
          <bgColor theme="9" tint="-0.249977111117893"/>
        </patternFill>
      </fill>
    </dxf>
    <dxf>
      <fill>
        <patternFill>
          <bgColor theme="9" tint="-0.249977111117893"/>
        </patternFill>
      </fill>
    </dxf>
    <dxf>
      <border>
        <left style="thick">
          <color auto="1"/>
        </left>
        <right style="thick">
          <color auto="1"/>
        </right>
        <top style="thick">
          <color auto="1"/>
        </top>
        <bottom style="thick">
          <color auto="1"/>
        </bottom>
      </border>
    </dxf>
    <dxf>
      <font>
        <color auto="1"/>
      </font>
    </dxf>
    <dxf>
      <font>
        <color auto="1"/>
      </font>
    </dxf>
    <dxf>
      <fill>
        <patternFill patternType="solid">
          <fgColor indexed="64"/>
          <bgColor rgb="FFCCFFCC"/>
        </patternFill>
      </fill>
    </dxf>
    <dxf>
      <fill>
        <patternFill patternType="solid">
          <fgColor indexed="64"/>
          <bgColor rgb="FFCCFFCC"/>
        </patternFill>
      </fill>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numFmt numFmtId="164" formatCode="&quot;$&quot;#,##0"/>
    </dxf>
    <dxf>
      <numFmt numFmtId="167" formatCode="0.0"/>
    </dxf>
    <dxf>
      <numFmt numFmtId="167" formatCode="0.0"/>
    </dxf>
    <dxf>
      <border>
        <left style="medium">
          <color auto="1"/>
        </left>
      </border>
    </dxf>
    <dxf>
      <border>
        <right style="thin">
          <color auto="1"/>
        </right>
      </border>
    </dxf>
    <dxf>
      <border>
        <right style="thin">
          <color auto="1"/>
        </right>
      </border>
    </dxf>
    <dxf>
      <border>
        <right style="thin">
          <color auto="1"/>
        </right>
      </border>
    </dxf>
    <dxf>
      <border>
        <left/>
        <right style="medium">
          <color auto="1"/>
        </right>
      </border>
    </dxf>
    <dxf>
      <alignment vertical="center"/>
    </dxf>
    <dxf>
      <alignment vertical="center"/>
    </dxf>
    <dxf>
      <alignment horizontal="center"/>
    </dxf>
    <dxf>
      <alignment horizontal="center"/>
    </dxf>
    <dxf>
      <fill>
        <patternFill>
          <bgColor theme="9" tint="-0.249977111117893"/>
        </patternFill>
      </fill>
    </dxf>
    <dxf>
      <fill>
        <patternFill>
          <bgColor theme="9" tint="-0.249977111117893"/>
        </patternFill>
      </fill>
    </dxf>
    <dxf>
      <fill>
        <patternFill>
          <bgColor theme="9" tint="-0.249977111117893"/>
        </patternFill>
      </fill>
    </dxf>
    <dxf>
      <fill>
        <patternFill>
          <bgColor theme="9" tint="-0.249977111117893"/>
        </patternFill>
      </fill>
    </dxf>
    <dxf>
      <numFmt numFmtId="166" formatCode="_(&quot;$&quot;* #,##0_);_(&quot;$&quot;* \(#,##0\);_(&quot;$&quot;* &quot;-&quot;??_);_(@_)"/>
    </dxf>
    <dxf>
      <numFmt numFmtId="166" formatCode="_(&quot;$&quot;* #,##0_);_(&quot;$&quot;* \(#,##0\);_(&quot;$&quot;* &quot;-&quot;??_);_(@_)"/>
    </dxf>
    <dxf>
      <numFmt numFmtId="166" formatCode="_(&quot;$&quot;* #,##0_);_(&quot;$&quot;* \(#,##0\);_(&quot;$&quot;* &quot;-&quot;??_);_(@_)"/>
    </dxf>
    <dxf>
      <numFmt numFmtId="166" formatCode="_(&quot;$&quot;* #,##0_);_(&quot;$&quot;* \(#,##0\);_(&quot;$&quot;* &quot;-&quot;??_);_(@_)"/>
    </dxf>
    <dxf>
      <numFmt numFmtId="166" formatCode="_(&quot;$&quot;* #,##0_);_(&quot;$&quot;* \(#,##0\);_(&quot;$&quot;* &quot;-&quot;??_);_(@_)"/>
    </dxf>
    <dxf>
      <numFmt numFmtId="166" formatCode="_(&quot;$&quot;* #,##0_);_(&quot;$&quot;* \(#,##0\);_(&quot;$&quot;* &quot;-&quot;??_);_(@_)"/>
    </dxf>
    <dxf>
      <numFmt numFmtId="171" formatCode="_(&quot;$&quot;* #,##0.0_);_(&quot;$&quot;* \(#,##0.0\);_(&quot;$&quot;* &quot;-&quot;??_);_(@_)"/>
    </dxf>
    <dxf>
      <numFmt numFmtId="171" formatCode="_(&quot;$&quot;* #,##0.0_);_(&quot;$&quot;* \(#,##0.0\);_(&quot;$&quot;* &quot;-&quot;??_);_(@_)"/>
    </dxf>
    <dxf>
      <numFmt numFmtId="171" formatCode="_(&quot;$&quot;* #,##0.0_);_(&quot;$&quot;* \(#,##0.0\);_(&quot;$&quot;* &quot;-&quot;??_);_(@_)"/>
    </dxf>
    <dxf>
      <numFmt numFmtId="171" formatCode="_(&quot;$&quot;* #,##0.0_);_(&quot;$&quot;* \(#,##0.0\);_(&quot;$&quot;* &quot;-&quot;??_);_(@_)"/>
    </dxf>
    <dxf>
      <numFmt numFmtId="171" formatCode="_(&quot;$&quot;* #,##0.0_);_(&quot;$&quot;* \(#,##0.0\);_(&quot;$&quot;* &quot;-&quot;??_);_(@_)"/>
    </dxf>
    <dxf>
      <numFmt numFmtId="171" formatCode="_(&quot;$&quot;* #,##0.0_);_(&quot;$&quot;* \(#,##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1" formatCode="0"/>
    </dxf>
    <dxf>
      <numFmt numFmtId="1" formatCode="0"/>
    </dxf>
    <dxf>
      <numFmt numFmtId="167" formatCode="0.0"/>
    </dxf>
    <dxf>
      <numFmt numFmtId="167" formatCode="0.0"/>
    </dxf>
    <dxf>
      <numFmt numFmtId="2" formatCode="0.00"/>
    </dxf>
    <dxf>
      <numFmt numFmtId="2" formatCode="0.00"/>
    </dxf>
    <dxf>
      <alignment wrapText="1"/>
    </dxf>
    <dxf>
      <alignment wrapText="1"/>
    </dxf>
    <dxf>
      <font>
        <color theme="0"/>
      </font>
    </dxf>
    <dxf>
      <font>
        <color theme="0"/>
      </font>
    </dxf>
    <dxf>
      <font>
        <color theme="0"/>
      </font>
    </dxf>
    <dxf>
      <font>
        <color theme="0"/>
      </font>
    </dxf>
    <dxf>
      <fill>
        <patternFill patternType="solid">
          <bgColor theme="9"/>
        </patternFill>
      </fill>
    </dxf>
    <dxf>
      <fill>
        <patternFill patternType="solid">
          <bgColor theme="9"/>
        </patternFill>
      </fill>
    </dxf>
    <dxf>
      <fill>
        <patternFill patternType="solid">
          <bgColor theme="9"/>
        </patternFill>
      </fill>
    </dxf>
    <dxf>
      <fill>
        <patternFill patternType="solid">
          <bgColor theme="9"/>
        </patternFill>
      </fill>
    </dxf>
    <dxf>
      <font>
        <color theme="1"/>
      </font>
    </dxf>
    <dxf>
      <font>
        <color theme="1"/>
      </font>
    </dxf>
    <dxf>
      <font>
        <color theme="1"/>
      </font>
    </dxf>
    <dxf>
      <font>
        <color theme="1"/>
      </font>
    </dxf>
    <dxf>
      <font>
        <color theme="1"/>
      </font>
    </dxf>
    <dxf>
      <font>
        <color theme="1"/>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167" formatCode="0.0"/>
    </dxf>
    <dxf>
      <numFmt numFmtId="167" formatCode="0.0"/>
    </dxf>
    <dxf>
      <numFmt numFmtId="1" formatCode="0"/>
    </dxf>
    <dxf>
      <numFmt numFmtId="1" formatCode="0"/>
    </dxf>
    <dxf>
      <numFmt numFmtId="167" formatCode="0.0"/>
    </dxf>
    <dxf>
      <numFmt numFmtId="167" formatCode="0.0"/>
    </dxf>
    <dxf>
      <numFmt numFmtId="1" formatCode="0"/>
    </dxf>
    <dxf>
      <numFmt numFmtId="1" formatCode="0"/>
    </dxf>
    <dxf>
      <numFmt numFmtId="167" formatCode="0.0"/>
    </dxf>
    <dxf>
      <numFmt numFmtId="167" formatCode="0.0"/>
    </dxf>
    <dxf>
      <numFmt numFmtId="1" formatCode="0"/>
    </dxf>
    <dxf>
      <numFmt numFmtId="1" formatCode="0"/>
    </dxf>
    <dxf>
      <numFmt numFmtId="167" formatCode="0.0"/>
    </dxf>
    <dxf>
      <numFmt numFmtId="167" formatCode="0.0"/>
    </dxf>
    <dxf>
      <numFmt numFmtId="2" formatCode="0.00"/>
    </dxf>
    <dxf>
      <numFmt numFmtId="2" formatCode="0.00"/>
    </dxf>
    <dxf>
      <numFmt numFmtId="167" formatCode="0.0"/>
    </dxf>
    <dxf>
      <numFmt numFmtId="167" formatCode="0.0"/>
    </dxf>
    <dxf>
      <font>
        <color theme="0"/>
      </font>
    </dxf>
    <dxf>
      <font>
        <color theme="0"/>
      </font>
    </dxf>
    <dxf>
      <font>
        <color theme="0"/>
      </font>
    </dxf>
    <dxf>
      <fill>
        <patternFill patternType="solid">
          <fgColor indexed="64"/>
          <bgColor theme="9" tint="-0.249977111117893"/>
        </patternFill>
      </fill>
    </dxf>
    <dxf>
      <fill>
        <patternFill patternType="solid">
          <fgColor indexed="64"/>
          <bgColor theme="9" tint="-0.249977111117893"/>
        </patternFill>
      </fill>
    </dxf>
    <dxf>
      <border>
        <left style="thick">
          <color auto="1"/>
        </left>
        <right style="thick">
          <color auto="1"/>
        </right>
        <top style="thick">
          <color auto="1"/>
        </top>
        <bottom style="thick">
          <color auto="1"/>
        </bottom>
      </border>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numFmt numFmtId="164" formatCode="&quot;$&quot;#,##0"/>
    </dxf>
    <dxf>
      <numFmt numFmtId="170" formatCode="&quot;$&quot;#,##0.0"/>
    </dxf>
    <dxf>
      <numFmt numFmtId="165" formatCode="&quot;$&quot;#,##0.00"/>
    </dxf>
    <dxf>
      <numFmt numFmtId="168" formatCode="&quot;$&quot;#,##0.000"/>
    </dxf>
    <dxf>
      <numFmt numFmtId="169" formatCode="&quot;$&quot;#,##0.0000"/>
    </dxf>
    <dxf>
      <numFmt numFmtId="168" formatCode="&quot;$&quot;#,##0.000"/>
    </dxf>
    <dxf>
      <numFmt numFmtId="34" formatCode="_(&quot;$&quot;* #,##0.00_);_(&quot;$&quot;* \(#,##0.00\);_(&quot;$&quot;* &quot;-&quot;??_);_(@_)"/>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numFmt numFmtId="0" formatCode="General"/>
      <alignment horizontal="general" vertical="bottom" textRotation="0" wrapText="1" justifyLastLine="0" shrinkToFit="0"/>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dxf>
    <dxf>
      <numFmt numFmtId="34" formatCode="_(&quot;$&quot;* #,##0.00_);_(&quot;$&quot;* \(#,##0.00\);_(&quot;$&quot;* &quot;-&quot;??_);_(@_)"/>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dxf>
    <dxf>
      <numFmt numFmtId="34" formatCode="_(&quot;$&quot;* #,##0.00_);_(&quot;$&quot;* \(#,##0.00\);_(&quot;$&quot;* &quot;-&quot;??_);_(@_)"/>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numFmt numFmtId="0" formatCode="Genera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numFmt numFmtId="0" formatCode="General"/>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dxf>
    <dxf>
      <numFmt numFmtId="34" formatCode="_(&quot;$&quot;* #,##0.00_);_(&quot;$&quot;* \(#,##0.00\);_(&quot;$&quot;* &quot;-&quot;??_);_(@_)"/>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dxf>
    <dxf>
      <numFmt numFmtId="34" formatCode="_(&quot;$&quot;* #,##0.00_);_(&quot;$&quot;* \(#,##0.00\);_(&quot;$&quot;* &quot;-&quot;??_);_(@_)"/>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numFmt numFmtId="0" formatCode="Genera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numFmt numFmtId="0" formatCode="General"/>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dxf>
    <dxf>
      <numFmt numFmtId="34" formatCode="_(&quot;$&quot;* #,##0.00_);_(&quot;$&quot;* \(#,##0.00\);_(&quot;$&quot;* &quot;-&quot;??_);_(@_)"/>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dxf>
    <dxf>
      <numFmt numFmtId="34" formatCode="_(&quot;$&quot;* #,##0.00_);_(&quot;$&quot;* \(#,##0.00\);_(&quot;$&quot;* &quot;-&quot;??_);_(@_)"/>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numFmt numFmtId="0" formatCode="Genera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numFmt numFmtId="0" formatCode="General"/>
    </dxf>
    <dxf>
      <font>
        <b val="0"/>
        <i val="0"/>
        <strike val="0"/>
        <condense val="0"/>
        <extend val="0"/>
        <outline val="0"/>
        <shadow val="0"/>
        <u val="none"/>
        <vertAlign val="baseline"/>
        <sz val="11"/>
        <color theme="0"/>
        <name val="Calibri"/>
        <family val="2"/>
        <scheme val="minor"/>
      </font>
      <numFmt numFmtId="13" formatCode="0%"/>
      <fill>
        <patternFill patternType="solid">
          <fgColor indexed="64"/>
          <bgColor theme="9" tint="-0.249977111117893"/>
        </patternFill>
      </fill>
      <alignment horizontal="center" vertical="bottom" textRotation="0" wrapText="0" indent="0" justifyLastLine="0" shrinkToFit="0" readingOrder="0"/>
    </dxf>
    <dxf>
      <alignment horizontal="center" textRotation="0" wrapText="0" indent="0" justifyLastLine="0" shrinkToFit="0"/>
    </dxf>
    <dxf>
      <font>
        <b val="0"/>
        <i val="0"/>
        <strike val="0"/>
        <condense val="0"/>
        <extend val="0"/>
        <outline val="0"/>
        <shadow val="0"/>
        <u val="none"/>
        <vertAlign val="baseline"/>
        <sz val="11"/>
        <color theme="0"/>
        <name val="Calibri"/>
        <family val="2"/>
        <scheme val="minor"/>
      </font>
      <numFmt numFmtId="13" formatCode="0%"/>
      <fill>
        <patternFill patternType="solid">
          <fgColor indexed="64"/>
          <bgColor theme="9" tint="-0.249977111117893"/>
        </patternFill>
      </fill>
      <alignment horizontal="center" vertical="bottom" textRotation="0" wrapText="0" indent="0" justifyLastLine="0" shrinkToFit="0" readingOrder="0"/>
    </dxf>
    <dxf>
      <alignment horizontal="center" textRotation="0" wrapText="0" indent="0" justifyLastLine="0" shrinkToFit="0"/>
    </dxf>
    <dxf>
      <font>
        <b val="0"/>
        <i val="0"/>
        <strike val="0"/>
        <condense val="0"/>
        <extend val="0"/>
        <outline val="0"/>
        <shadow val="0"/>
        <u val="none"/>
        <vertAlign val="baseline"/>
        <sz val="11"/>
        <color theme="0"/>
        <name val="Calibri"/>
        <family val="2"/>
        <scheme val="minor"/>
      </font>
      <numFmt numFmtId="13" formatCode="0%"/>
      <fill>
        <patternFill patternType="solid">
          <fgColor indexed="64"/>
          <bgColor theme="9" tint="-0.249977111117893"/>
        </patternFill>
      </fill>
      <alignment horizontal="center" vertical="bottom" textRotation="0" wrapText="0" indent="0" justifyLastLine="0" shrinkToFit="0" readingOrder="0"/>
    </dxf>
    <dxf>
      <alignment horizontal="center" textRotation="0" wrapText="0" indent="0" justifyLastLine="0" shrinkToFit="0"/>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numFmt numFmtId="0" formatCode="Genera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numFmt numFmtId="0" formatCode="Genera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numFmt numFmtId="0" formatCode="General"/>
    </dxf>
    <dxf>
      <font>
        <b val="0"/>
        <i val="0"/>
        <strike val="0"/>
        <condense val="0"/>
        <extend val="0"/>
        <outline val="0"/>
        <shadow val="0"/>
        <u val="none"/>
        <vertAlign val="baseline"/>
        <sz val="11"/>
        <color theme="0"/>
        <name val="Calibri"/>
        <family val="2"/>
        <scheme val="minor"/>
      </font>
      <numFmt numFmtId="164" formatCode="&quot;$&quot;#,##0"/>
      <fill>
        <patternFill patternType="solid">
          <fgColor indexed="64"/>
          <bgColor theme="9" tint="-0.249977111117893"/>
        </patternFill>
      </fill>
    </dxf>
    <dxf>
      <numFmt numFmtId="34" formatCode="_(&quot;$&quot;* #,##0.00_);_(&quot;$&quot;* \(#,##0.00\);_(&quot;$&quot;* &quot;-&quot;??_);_(@_)"/>
    </dxf>
    <dxf>
      <font>
        <b val="0"/>
        <i val="0"/>
        <strike val="0"/>
        <condense val="0"/>
        <extend val="0"/>
        <outline val="0"/>
        <shadow val="0"/>
        <u val="none"/>
        <vertAlign val="baseline"/>
        <sz val="11"/>
        <color theme="0"/>
        <name val="Calibri"/>
        <family val="2"/>
        <scheme val="minor"/>
      </font>
      <numFmt numFmtId="164" formatCode="&quot;$&quot;#,##0"/>
      <fill>
        <patternFill patternType="solid">
          <fgColor indexed="64"/>
          <bgColor theme="9" tint="-0.249977111117893"/>
        </patternFill>
      </fill>
    </dxf>
    <dxf>
      <numFmt numFmtId="34" formatCode="_(&quot;$&quot;* #,##0.00_);_(&quot;$&quot;* \(#,##0.00\);_(&quot;$&quot;* &quot;-&quot;??_);_(@_)"/>
      <border outline="0">
        <left style="thin">
          <color indexed="64"/>
        </left>
      </border>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alignment horizontal="center" vertical="bottom" textRotation="0" wrapText="0" indent="0" justifyLastLine="0" shrinkToFit="0" readingOrder="0"/>
    </dxf>
    <dxf>
      <font>
        <b/>
        <i val="0"/>
        <strike val="0"/>
        <outline val="0"/>
        <shadow val="0"/>
        <u val="none"/>
        <vertAlign val="baseline"/>
        <sz val="11"/>
        <color theme="1"/>
        <name val="Calibri"/>
        <scheme val="minor"/>
      </font>
      <numFmt numFmtId="0" formatCode="General"/>
      <fill>
        <patternFill patternType="none">
          <fgColor indexed="64"/>
          <bgColor auto="1"/>
        </patternFill>
      </fill>
      <alignment horizontal="center" textRotation="0" wrapText="0" indent="0" justifyLastLine="0" shrinkToFit="0"/>
      <border diagonalUp="0" diagonalDown="0">
        <left/>
        <right style="thin">
          <color indexed="64"/>
        </right>
        <vertical/>
      </border>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alignment horizontal="center" vertical="bottom" textRotation="0" wrapText="0" indent="0" justifyLastLine="0" shrinkToFit="0" readingOrder="0"/>
    </dxf>
    <dxf>
      <font>
        <b/>
        <i val="0"/>
        <strike val="0"/>
        <outline val="0"/>
        <shadow val="0"/>
        <u val="none"/>
        <vertAlign val="baseline"/>
        <sz val="11"/>
        <color theme="1"/>
        <name val="Calibri"/>
        <scheme val="minor"/>
      </font>
      <fill>
        <patternFill patternType="none">
          <fgColor indexed="64"/>
          <bgColor auto="1"/>
        </patternFill>
      </fill>
      <alignment horizontal="center" textRotation="0" wrapText="0" indent="0" justifyLastLine="0" shrinkToFit="0"/>
      <border diagonalUp="0" diagonalDown="0">
        <left style="thin">
          <color indexed="64"/>
        </left>
        <right/>
        <vertical/>
      </border>
    </dxf>
    <dxf>
      <font>
        <b val="0"/>
        <i val="0"/>
        <strike val="0"/>
        <condense val="0"/>
        <extend val="0"/>
        <outline val="0"/>
        <shadow val="0"/>
        <u val="none"/>
        <vertAlign val="baseline"/>
        <sz val="11"/>
        <color theme="0"/>
        <name val="Castellar"/>
        <family val="1"/>
        <scheme val="none"/>
      </font>
      <fill>
        <patternFill patternType="solid">
          <fgColor indexed="64"/>
          <bgColor theme="9" tint="-0.249977111117893"/>
        </patternFill>
      </fill>
      <alignment horizontal="center" vertical="bottom" textRotation="0" wrapText="0" indent="0" justifyLastLine="0" shrinkToFit="0" readingOrder="0"/>
    </dxf>
    <dxf>
      <font>
        <strike val="0"/>
        <outline val="0"/>
        <shadow val="0"/>
        <u val="none"/>
        <vertAlign val="baseline"/>
        <sz val="11"/>
        <color theme="1"/>
        <name val="Castellar"/>
        <scheme val="none"/>
      </font>
      <alignment horizontal="center" textRotation="0" wrapText="0" indent="0" justifyLastLine="0" shrinkToFit="0"/>
      <border outline="0">
        <right style="thin">
          <color indexed="64"/>
        </right>
      </border>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strike val="0"/>
        <outline val="0"/>
        <shadow val="0"/>
        <u val="none"/>
        <vertAlign val="baseline"/>
        <sz val="11"/>
        <color theme="0"/>
      </font>
      <fill>
        <patternFill patternType="solid">
          <fgColor indexed="64"/>
          <bgColor theme="9" tint="-0.249977111117893"/>
        </patternFill>
      </fill>
    </dxf>
    <dxf>
      <border diagonalUp="0" diagonalDown="0">
        <left style="thick">
          <color auto="1"/>
        </left>
        <right style="thick">
          <color auto="1"/>
        </right>
        <top style="thick">
          <color auto="1"/>
        </top>
        <bottom style="thick">
          <color auto="1"/>
        </bottom>
      </border>
    </dxf>
    <dxf>
      <font>
        <strike val="0"/>
        <outline val="0"/>
        <shadow val="0"/>
        <u val="none"/>
        <vertAlign val="baseline"/>
        <sz val="11"/>
        <color theme="0"/>
        <name val="Calibri"/>
        <scheme val="minor"/>
      </font>
      <fill>
        <patternFill patternType="solid">
          <fgColor indexed="64"/>
          <bgColor theme="9" tint="-0.249977111117893"/>
        </patternFill>
      </fill>
    </dxf>
    <dxf>
      <font>
        <color auto="1"/>
      </font>
      <fill>
        <patternFill patternType="solid">
          <fgColor indexed="64"/>
          <bgColor rgb="FF66CCFF"/>
        </patternFill>
      </fill>
    </dxf>
    <dxf>
      <font>
        <color auto="1"/>
      </font>
      <fill>
        <patternFill patternType="solid">
          <fgColor indexed="64"/>
          <bgColor rgb="FFCCCCFF"/>
        </patternFill>
      </fill>
      <border>
        <left/>
        <right/>
        <top/>
        <bottom/>
      </border>
    </dxf>
    <dxf>
      <fill>
        <patternFill>
          <bgColor theme="9" tint="0.79998168889431442"/>
        </patternFill>
      </fill>
    </dxf>
    <dxf>
      <font>
        <color theme="0"/>
      </font>
      <fill>
        <patternFill patternType="solid">
          <fgColor indexed="64"/>
          <bgColor rgb="FF003366"/>
        </patternFill>
      </fill>
      <border>
        <left/>
        <right/>
        <top/>
        <bottom/>
      </border>
    </dxf>
    <dxf>
      <fill>
        <patternFill>
          <bgColor theme="3" tint="0.79998168889431442"/>
        </patternFill>
      </fill>
    </dxf>
    <dxf>
      <font>
        <color theme="0"/>
      </font>
      <fill>
        <patternFill patternType="solid">
          <fgColor indexed="64"/>
          <bgColor theme="9"/>
        </patternFill>
      </fill>
      <border>
        <left/>
        <right/>
        <top/>
        <bottom/>
      </border>
    </dxf>
    <dxf>
      <font>
        <color auto="1"/>
      </font>
      <fill>
        <patternFill patternType="solid">
          <fgColor indexed="64"/>
          <bgColor theme="9" tint="0.39997558519241921"/>
        </patternFill>
      </fill>
      <border>
        <left/>
        <right/>
        <top/>
        <bottom/>
      </border>
    </dxf>
    <dxf>
      <font>
        <color theme="0"/>
      </font>
      <fill>
        <patternFill>
          <bgColor rgb="FF0070C0"/>
        </patternFill>
      </fill>
    </dxf>
    <dxf>
      <fill>
        <patternFill patternType="solid">
          <fgColor indexed="64"/>
          <bgColor theme="4" tint="0.39997558519241921"/>
        </patternFill>
      </fill>
      <border>
        <left style="thin">
          <color rgb="FF9C0006"/>
        </left>
        <right style="thin">
          <color rgb="FF9C0006"/>
        </right>
        <top style="thin">
          <color rgb="FF9C0006"/>
        </top>
        <bottom style="thin">
          <color rgb="FF9C0006"/>
        </bottom>
      </border>
    </dxf>
    <dxf>
      <fill>
        <patternFill>
          <bgColor theme="7" tint="0.79998168889431442"/>
        </patternFill>
      </fill>
    </dxf>
    <dxf>
      <fill>
        <patternFill>
          <bgColor theme="9" tint="0.79998168889431442"/>
        </patternFill>
      </fill>
    </dxf>
    <dxf>
      <fill>
        <patternFill>
          <bgColor theme="5" tint="0.79998168889431442"/>
        </patternFill>
      </fill>
    </dxf>
    <dxf>
      <fill>
        <patternFill>
          <bgColor theme="3" tint="0.79998168889431442"/>
        </patternFill>
      </fill>
    </dxf>
    <dxf>
      <fill>
        <patternFill>
          <bgColor rgb="FFFE9898"/>
        </patternFill>
      </fill>
    </dxf>
    <dxf>
      <font>
        <color theme="0"/>
      </font>
      <fill>
        <patternFill>
          <bgColor theme="9" tint="-0.24994659260841701"/>
        </patternFill>
      </fill>
    </dxf>
    <dxf>
      <fill>
        <patternFill>
          <bgColor rgb="FFC0C0C0"/>
        </patternFill>
      </fill>
    </dxf>
  </dxfs>
  <tableStyles count="0" defaultTableStyle="TableStyleMedium2" defaultPivotStyle="PivotStyleLight16"/>
  <colors>
    <mruColors>
      <color rgb="FF66CCFF"/>
      <color rgb="FF3399FF"/>
      <color rgb="FF00CCFF"/>
      <color rgb="FFCCCCFF"/>
      <color rgb="FFCCFFCC"/>
      <color rgb="FFFFFF99"/>
      <color rgb="FF003366"/>
      <color rgb="FFFFCC00"/>
      <color rgb="FF9999FF"/>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yle Sanford" refreshedDate="44720.525478935182" createdVersion="6" refreshedVersion="8" minRefreshableVersion="3" recordCount="31" xr:uid="{00000000-000A-0000-FFFF-FFFF0D000000}">
  <cacheSource type="worksheet">
    <worksheetSource name="Table1"/>
  </cacheSource>
  <cacheFields count="25">
    <cacheField name="Project Estimates" numFmtId="0">
      <sharedItems/>
    </cacheField>
    <cacheField name="Rate" numFmtId="0">
      <sharedItems/>
    </cacheField>
    <cacheField name="Lo Hrs." numFmtId="0">
      <sharedItems containsString="0" containsBlank="1" containsNumber="1" containsInteger="1" minValue="1" maxValue="13"/>
    </cacheField>
    <cacheField name="Hi Hrs." numFmtId="0">
      <sharedItems containsString="0" containsBlank="1" containsNumber="1" containsInteger="1" minValue="0" maxValue="13"/>
    </cacheField>
    <cacheField name="Lo Cost Est" numFmtId="44">
      <sharedItems containsSemiMixedTypes="0" containsString="0" containsNumber="1" containsInteger="1" minValue="0" maxValue="3500"/>
    </cacheField>
    <cacheField name="Hi Cost Est" numFmtId="44">
      <sharedItems containsSemiMixedTypes="0" containsString="0" containsNumber="1" containsInteger="1" minValue="0" maxValue="3500"/>
    </cacheField>
    <cacheField name="Formatting" numFmtId="0">
      <sharedItems/>
    </cacheField>
    <cacheField name="Short Rate Name" numFmtId="0">
      <sharedItems count="11">
        <s v="License"/>
        <s v="Back End"/>
        <s v="Business Analyst"/>
        <s v="Integration"/>
        <s v="Quality Assurance"/>
        <s v="Meetings"/>
        <s v="Project Management"/>
        <s v="" u="1"/>
        <s v="Marketing" u="1"/>
        <s v="Discovery" u="1"/>
        <s v="Front End" u="1"/>
      </sharedItems>
    </cacheField>
    <cacheField name="Long Rate Name" numFmtId="0">
      <sharedItems containsMixedTypes="1" containsNumber="1" minValue="0" maxValue="0.2" count="11">
        <s v="Clarity eCommerce Software License (typically $20,000)"/>
        <s v="Clarity Connect Software License (typically $17,000)"/>
        <s v="Back End Hourly Rate ($175/hr. for post-pay)"/>
        <s v="Business Analysts normally required with projects needing BE development)"/>
        <s v="Integration Hourly Rate ($175/hr. for post-pay)"/>
        <s v="Quality Assurance (typically 15%, 10% for FE-only projects)"/>
        <s v="5-10% based on project size, client (person, team, committee)"/>
        <s v="Project Management (20% &lt; $75k, 15% &gt; $75k)"/>
        <n v="0" u="1"/>
        <n v="0.2" u="1"/>
        <n v="0.1" u="1"/>
      </sharedItems>
    </cacheField>
    <cacheField name="P1%" numFmtId="9">
      <sharedItems containsString="0" containsBlank="1" containsNumber="1" minValue="0.3" maxValue="0.3"/>
    </cacheField>
    <cacheField name="P2%" numFmtId="9">
      <sharedItems containsSemiMixedTypes="0" containsString="0" containsNumber="1" minValue="0.7" maxValue="1"/>
    </cacheField>
    <cacheField name="P3%" numFmtId="9">
      <sharedItems containsNonDate="0" containsString="0" containsBlank="1"/>
    </cacheField>
    <cacheField name="P1LOW" numFmtId="0">
      <sharedItems containsSemiMixedTypes="0" containsString="0" containsNumber="1" minValue="0" maxValue="1.2"/>
    </cacheField>
    <cacheField name="P1HI" numFmtId="0">
      <sharedItems containsSemiMixedTypes="0" containsString="0" containsNumber="1" minValue="0" maxValue="1.2"/>
    </cacheField>
    <cacheField name="P1COSTLO" numFmtId="44">
      <sharedItems containsSemiMixedTypes="0" containsString="0" containsNumber="1" containsInteger="1" minValue="0" maxValue="180"/>
    </cacheField>
    <cacheField name="P1COSTHI" numFmtId="44">
      <sharedItems containsSemiMixedTypes="0" containsString="0" containsNumber="1" containsInteger="1" minValue="0" maxValue="180"/>
    </cacheField>
    <cacheField name="P2LOW" numFmtId="0">
      <sharedItems containsSemiMixedTypes="0" containsString="0" containsNumber="1" minValue="0" maxValue="13"/>
    </cacheField>
    <cacheField name="P2HI" numFmtId="0">
      <sharedItems containsSemiMixedTypes="0" containsString="0" containsNumber="1" minValue="0" maxValue="13"/>
    </cacheField>
    <cacheField name="P2COSTLO" numFmtId="44">
      <sharedItems containsSemiMixedTypes="0" containsString="0" containsNumber="1" containsInteger="1" minValue="0" maxValue="3500"/>
    </cacheField>
    <cacheField name="P2COSTHI" numFmtId="44">
      <sharedItems containsSemiMixedTypes="0" containsString="0" containsNumber="1" containsInteger="1" minValue="0" maxValue="3500"/>
    </cacheField>
    <cacheField name="P3LOW" numFmtId="0">
      <sharedItems containsSemiMixedTypes="0" containsString="0" containsNumber="1" containsInteger="1" minValue="0" maxValue="0"/>
    </cacheField>
    <cacheField name="P3HI" numFmtId="0">
      <sharedItems containsSemiMixedTypes="0" containsString="0" containsNumber="1" containsInteger="1" minValue="0" maxValue="0"/>
    </cacheField>
    <cacheField name="P3COSTLO" numFmtId="44">
      <sharedItems containsSemiMixedTypes="0" containsString="0" containsNumber="1" containsInteger="1" minValue="0" maxValue="0"/>
    </cacheField>
    <cacheField name="P3COSTHI" numFmtId="44">
      <sharedItems containsSemiMixedTypes="0" containsString="0" containsNumber="1" containsInteger="1" minValue="0" maxValue="0"/>
    </cacheField>
    <cacheField name="Description"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yle Sanford" refreshedDate="44720.525524537035" createdVersion="6" refreshedVersion="8" minRefreshableVersion="3" recordCount="84" xr:uid="{00000000-000A-0000-FFFF-FFFF05000000}">
  <cacheSource type="worksheet">
    <worksheetSource name="Table2"/>
  </cacheSource>
  <cacheFields count="10">
    <cacheField name="Week" numFmtId="0">
      <sharedItems/>
    </cacheField>
    <cacheField name="Month" numFmtId="0">
      <sharedItems containsSemiMixedTypes="0" containsString="0" containsNumber="1" containsInteger="1" minValue="0" maxValue="99" count="34">
        <n v="5"/>
        <n v="6"/>
        <n v="7"/>
        <n v="8"/>
        <n v="9"/>
        <n v="10"/>
        <n v="11"/>
        <n v="12"/>
        <n v="13"/>
        <n v="14"/>
        <n v="15"/>
        <n v="16"/>
        <n v="17"/>
        <n v="18"/>
        <n v="19"/>
        <n v="20"/>
        <n v="21"/>
        <n v="22"/>
        <n v="23"/>
        <n v="24"/>
        <n v="90"/>
        <n v="91"/>
        <n v="92"/>
        <n v="93"/>
        <n v="0" u="1"/>
        <n v="2" u="1"/>
        <n v="99" u="1"/>
        <n v="1" u="1"/>
        <n v="3" u="1"/>
        <n v="25" u="1"/>
        <n v="26" u="1"/>
        <n v="27" u="1"/>
        <n v="28" u="1"/>
        <n v="4" u="1"/>
      </sharedItems>
    </cacheField>
    <cacheField name="Month Name" numFmtId="0">
      <sharedItems count="18">
        <s v="May"/>
        <s v="June"/>
        <s v="July"/>
        <s v="August"/>
        <s v="September"/>
        <s v="October"/>
        <s v="November"/>
        <s v="December"/>
        <s v="January"/>
        <s v="February"/>
        <s v="March"/>
        <s v="April"/>
        <s v="Variance - 1"/>
        <s v="Variance - 2"/>
        <s v="Variance - 3"/>
        <s v="Variance - 4"/>
        <e v="#N/A" u="1"/>
        <s v="Variance" u="1"/>
      </sharedItems>
    </cacheField>
    <cacheField name="Ignore1" numFmtId="0">
      <sharedItems containsSemiMixedTypes="0" containsString="0" containsNumber="1" containsInteger="1" minValue="0" maxValue="2"/>
    </cacheField>
    <cacheField name="Ignore2" numFmtId="0">
      <sharedItems containsSemiMixedTypes="0" containsString="0" containsNumber="1" containsInteger="1" minValue="-73" maxValue="9"/>
    </cacheField>
    <cacheField name="Ignore3" numFmtId="0">
      <sharedItems containsSemiMixedTypes="0" containsString="0" containsNumber="1" containsInteger="1" minValue="-73" maxValue="1"/>
    </cacheField>
    <cacheField name="P1Cost" numFmtId="44">
      <sharedItems containsSemiMixedTypes="0" containsString="0" containsNumber="1" containsInteger="1" minValue="0" maxValue="113"/>
    </cacheField>
    <cacheField name="P2Cost" numFmtId="44">
      <sharedItems containsString="0" containsBlank="1" containsNumber="1" containsInteger="1" minValue="0" maxValue="1222"/>
    </cacheField>
    <cacheField name="P3Cost" numFmtId="44">
      <sharedItems containsString="0" containsBlank="1" containsNumber="1" containsInteger="1" minValue="0" maxValue="0"/>
    </cacheField>
    <cacheField name="Cost" numFmtId="44">
      <sharedItems containsSemiMixedTypes="0" containsString="0" containsNumber="1" containsInteger="1" minValue="0" maxValue="122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1">
  <r>
    <s v="Clarity PayHub License (Core Modules)"/>
    <s v="EL"/>
    <m/>
    <m/>
    <n v="3500"/>
    <n v="3500"/>
    <s v="Red"/>
    <x v="0"/>
    <x v="0"/>
    <m/>
    <n v="1"/>
    <m/>
    <n v="0"/>
    <n v="0"/>
    <n v="0"/>
    <n v="0"/>
    <n v="0"/>
    <n v="0"/>
    <n v="3500"/>
    <n v="3500"/>
    <n v="0"/>
    <n v="0"/>
    <n v="0"/>
    <n v="0"/>
    <s v="*One-time base license for the Clarity eCommerce platform. Includes all &quot;base modules&quot; below needed for the estimated project (unless otherwise specified - i.e. multi-store, multi-lingual, etc.). _x000a__x000a_**Annual maintenance can be purchased for 30% of the cost of the license. This includes a small bucket of hours which can be used for tech support, training, enhancements, etc. Additional hours may be purchased at the standard rates."/>
  </r>
  <r>
    <s v=" - My Profile, Account Profile, Address Book, &amp; Wallet Modules"/>
    <s v="EL"/>
    <m/>
    <m/>
    <n v="0"/>
    <n v="0"/>
    <s v="Red"/>
    <x v="0"/>
    <x v="0"/>
    <m/>
    <n v="1"/>
    <m/>
    <n v="0"/>
    <n v="0"/>
    <n v="0"/>
    <n v="0"/>
    <n v="0"/>
    <n v="0"/>
    <n v="0"/>
    <n v="0"/>
    <n v="0"/>
    <n v="0"/>
    <n v="0"/>
    <n v="0"/>
    <m/>
  </r>
  <r>
    <s v=" - User Dashboard: Invoices Module"/>
    <s v="EL"/>
    <m/>
    <m/>
    <n v="0"/>
    <n v="0"/>
    <s v="Red"/>
    <x v="0"/>
    <x v="0"/>
    <m/>
    <n v="1"/>
    <m/>
    <n v="0"/>
    <n v="0"/>
    <n v="0"/>
    <n v="0"/>
    <n v="0"/>
    <n v="0"/>
    <n v="0"/>
    <n v="0"/>
    <n v="0"/>
    <n v="0"/>
    <n v="0"/>
    <n v="0"/>
    <m/>
  </r>
  <r>
    <s v=" - Admin Dashboard Module"/>
    <s v="EL"/>
    <m/>
    <m/>
    <n v="0"/>
    <n v="0"/>
    <s v="Red"/>
    <x v="0"/>
    <x v="0"/>
    <m/>
    <n v="1"/>
    <m/>
    <n v="0"/>
    <n v="0"/>
    <n v="0"/>
    <n v="0"/>
    <n v="0"/>
    <n v="0"/>
    <n v="0"/>
    <n v="0"/>
    <n v="0"/>
    <n v="0"/>
    <n v="0"/>
    <n v="0"/>
    <m/>
  </r>
  <r>
    <s v=" - Clarity API Module"/>
    <s v="EL"/>
    <m/>
    <m/>
    <n v="0"/>
    <n v="0"/>
    <s v="Red"/>
    <x v="0"/>
    <x v="0"/>
    <m/>
    <n v="1"/>
    <m/>
    <n v="0"/>
    <n v="0"/>
    <n v="0"/>
    <n v="0"/>
    <n v="0"/>
    <n v="0"/>
    <n v="0"/>
    <n v="0"/>
    <n v="0"/>
    <n v="0"/>
    <n v="0"/>
    <n v="0"/>
    <m/>
  </r>
  <r>
    <s v="Clarity Connect License (Core Modules)"/>
    <s v="CL"/>
    <m/>
    <m/>
    <n v="3500"/>
    <n v="3500"/>
    <s v="Red"/>
    <x v="0"/>
    <x v="1"/>
    <m/>
    <n v="1"/>
    <m/>
    <n v="0"/>
    <n v="0"/>
    <n v="0"/>
    <n v="0"/>
    <n v="0"/>
    <n v="0"/>
    <n v="3500"/>
    <n v="3500"/>
    <n v="0"/>
    <n v="0"/>
    <n v="0"/>
    <n v="0"/>
    <s v="*One-time base license for the Clarity Connect platform. Includes any connectors for the CRM/ERP/EMR that we're trying to connect to if they already exist. _x000a__x000a_**Annual maintenance can be purchased for 30% of the cost of the license. This includes a small bucket of hours which can be used for tech support, training, enhancements, etc. Additional hours may be purchased at the standard rates."/>
  </r>
  <r>
    <s v="   - 1st Application integrated (PayHub)"/>
    <s v="CL"/>
    <m/>
    <m/>
    <n v="0"/>
    <n v="0"/>
    <s v="Red"/>
    <x v="0"/>
    <x v="1"/>
    <m/>
    <n v="1"/>
    <m/>
    <n v="0"/>
    <n v="0"/>
    <n v="0"/>
    <n v="0"/>
    <n v="0"/>
    <n v="0"/>
    <n v="0"/>
    <n v="0"/>
    <n v="0"/>
    <n v="0"/>
    <n v="0"/>
    <n v="0"/>
    <s v="*&lt;FIRST APPLICATION&gt;"/>
  </r>
  <r>
    <s v="   - 2nd Application integrated (Client ERP)"/>
    <s v="CL"/>
    <m/>
    <m/>
    <n v="0"/>
    <n v="0"/>
    <s v="Red"/>
    <x v="0"/>
    <x v="1"/>
    <m/>
    <n v="1"/>
    <m/>
    <n v="0"/>
    <n v="0"/>
    <n v="0"/>
    <n v="0"/>
    <n v="0"/>
    <n v="0"/>
    <n v="0"/>
    <n v="0"/>
    <n v="0"/>
    <n v="0"/>
    <n v="0"/>
    <n v="0"/>
    <s v="*&lt;SECOND APPLICATION&gt;"/>
  </r>
  <r>
    <s v="Basic CEF Client configuration package"/>
    <s v="EL"/>
    <m/>
    <m/>
    <n v="0"/>
    <n v="0"/>
    <s v="Red"/>
    <x v="0"/>
    <x v="0"/>
    <m/>
    <n v="1"/>
    <m/>
    <n v="0"/>
    <n v="0"/>
    <n v="0"/>
    <n v="0"/>
    <n v="0"/>
    <n v="0"/>
    <n v="0"/>
    <n v="0"/>
    <n v="0"/>
    <n v="0"/>
    <n v="0"/>
    <n v="0"/>
    <s v="*Clarity will prepare a package / documents that will allow the client to review and make choices on the installation and configuration of the site (i.e. which merchant account are you using, which shipping carrier, are we calculating sales tax, etc.). Once the client has provided the responses, Clarity will custom configure the installation and stand it up, ready for the client to start adding site content and storefront products."/>
  </r>
  <r>
    <s v="Basic CEF installation"/>
    <s v="EL"/>
    <m/>
    <m/>
    <n v="0"/>
    <n v="0"/>
    <s v="Red"/>
    <x v="0"/>
    <x v="0"/>
    <m/>
    <n v="1"/>
    <m/>
    <n v="0"/>
    <n v="0"/>
    <n v="0"/>
    <n v="0"/>
    <n v="0"/>
    <n v="0"/>
    <n v="0"/>
    <n v="0"/>
    <n v="0"/>
    <n v="0"/>
    <n v="0"/>
    <n v="0"/>
    <s v="*included - Clarity will install (in the dev environment), the basic OOTB CEF installation, and create credentials for you to add content/products."/>
  </r>
  <r>
    <s v="Basic CEF configuration"/>
    <s v="EL"/>
    <m/>
    <m/>
    <n v="0"/>
    <n v="0"/>
    <s v="Red"/>
    <x v="0"/>
    <x v="0"/>
    <m/>
    <n v="1"/>
    <m/>
    <n v="0"/>
    <n v="0"/>
    <n v="0"/>
    <n v="0"/>
    <n v="0"/>
    <n v="0"/>
    <n v="0"/>
    <n v="0"/>
    <n v="0"/>
    <n v="0"/>
    <n v="0"/>
    <n v="0"/>
    <s v="*included - There are numerous features that may or may not be wanted for your installation (B2B features turned off for a B2C site, etc.), or B2B features turned on (invoicing, warehousing, etc.)."/>
  </r>
  <r>
    <s v="Basic CEF QA (validation of features, etc.)"/>
    <s v="EL"/>
    <m/>
    <m/>
    <n v="0"/>
    <n v="0"/>
    <s v="Red"/>
    <x v="0"/>
    <x v="0"/>
    <m/>
    <n v="1"/>
    <m/>
    <n v="0"/>
    <n v="0"/>
    <n v="0"/>
    <n v="0"/>
    <n v="0"/>
    <n v="0"/>
    <n v="0"/>
    <n v="0"/>
    <n v="0"/>
    <n v="0"/>
    <n v="0"/>
    <n v="0"/>
    <s v="*included - For the OOTB features, Clarity will provide QA/quality control to test the implementation once your products have been installed and content posted.  The client will be responsible for final QA and sign off for pushing to production."/>
  </r>
  <r>
    <s v="Basic Push to Production"/>
    <s v="EL"/>
    <m/>
    <m/>
    <n v="0"/>
    <n v="0"/>
    <s v="Red"/>
    <x v="0"/>
    <x v="0"/>
    <m/>
    <n v="1"/>
    <m/>
    <n v="0"/>
    <n v="0"/>
    <n v="0"/>
    <n v="0"/>
    <n v="0"/>
    <n v="0"/>
    <n v="0"/>
    <n v="0"/>
    <n v="0"/>
    <n v="0"/>
    <n v="0"/>
    <n v="0"/>
    <s v="*included - Once the site has passed UAT, Clarity will push the site to production. **This may be variable if the client wants a more complex hosting environment set up (i.e. load balancing, CDN, etc.). If the client chooses an outside hosting provider (themselves, AWS, Azure, etc.), then the client is responsible for any hosting fees."/>
  </r>
  <r>
    <s v="Basic Connect Client configuration package"/>
    <s v="CL"/>
    <m/>
    <m/>
    <n v="0"/>
    <n v="0"/>
    <s v="Red"/>
    <x v="0"/>
    <x v="1"/>
    <m/>
    <n v="1"/>
    <m/>
    <n v="0"/>
    <n v="0"/>
    <n v="0"/>
    <n v="0"/>
    <n v="0"/>
    <n v="0"/>
    <n v="0"/>
    <n v="0"/>
    <n v="0"/>
    <n v="0"/>
    <n v="0"/>
    <n v="0"/>
    <s v="*Clarity will prepare a package / documents that will allow the client to review and make choices on the installation and configuration of the integration.  This will include the the fields mappings worksheet (if the client is going to do the mappings), instructions and information about where the integration platform will be hosted."/>
  </r>
  <r>
    <s v="Basic Connect installation (Dev)"/>
    <s v="CL"/>
    <m/>
    <m/>
    <n v="0"/>
    <n v="0"/>
    <s v="Red"/>
    <x v="0"/>
    <x v="1"/>
    <m/>
    <n v="1"/>
    <m/>
    <n v="0"/>
    <n v="0"/>
    <n v="0"/>
    <n v="0"/>
    <n v="0"/>
    <n v="0"/>
    <n v="0"/>
    <n v="0"/>
    <n v="0"/>
    <n v="0"/>
    <n v="0"/>
    <n v="0"/>
    <s v="*included - Clarity will install (in the dev environment), the basic OOTB Connect installation. The client will be responsible for providing credentials/access to a test account or environment for the applications being connected."/>
  </r>
  <r>
    <s v="Basic Connect configuration"/>
    <s v="CL"/>
    <m/>
    <m/>
    <n v="0"/>
    <n v="0"/>
    <s v="Red"/>
    <x v="0"/>
    <x v="1"/>
    <m/>
    <n v="1"/>
    <m/>
    <n v="0"/>
    <n v="0"/>
    <n v="0"/>
    <n v="0"/>
    <n v="0"/>
    <n v="0"/>
    <n v="0"/>
    <n v="0"/>
    <n v="0"/>
    <n v="0"/>
    <n v="0"/>
    <n v="0"/>
    <s v="*included - There are numerous features that are configurable based on where the solution will be installed, what queue and database will be used, etc. This line item will be used to set up those basic features."/>
  </r>
  <r>
    <s v="Basic Connect QA (validation of features, etc.)"/>
    <s v="CL"/>
    <m/>
    <m/>
    <n v="0"/>
    <n v="0"/>
    <s v="Red"/>
    <x v="0"/>
    <x v="1"/>
    <m/>
    <n v="1"/>
    <m/>
    <n v="0"/>
    <n v="0"/>
    <n v="0"/>
    <n v="0"/>
    <n v="0"/>
    <n v="0"/>
    <n v="0"/>
    <n v="0"/>
    <n v="0"/>
    <n v="0"/>
    <n v="0"/>
    <n v="0"/>
    <s v="*included - For the OOTB features, Clarity will provide QA/quality control to test the implementation once your products have been installed and content posted.  The client will be responsible for final QA and sign off for pushing to production."/>
  </r>
  <r>
    <s v="Basic Push to Production"/>
    <s v="CL"/>
    <m/>
    <m/>
    <n v="0"/>
    <n v="0"/>
    <s v="Red"/>
    <x v="0"/>
    <x v="1"/>
    <m/>
    <n v="1"/>
    <m/>
    <n v="0"/>
    <n v="0"/>
    <n v="0"/>
    <n v="0"/>
    <n v="0"/>
    <n v="0"/>
    <n v="0"/>
    <n v="0"/>
    <n v="0"/>
    <n v="0"/>
    <n v="0"/>
    <n v="0"/>
    <s v="*included - Once the site has passed UAT, Clarity will push the install to production. **This may be variable if the client wants a more complex hosting environment set up (i.e. behind their DMZ/firewall, custom queue or database, etc.). If the client chooses an outside hosting provider (themselves, AWS, Azure, etc.), then the client is responsible for any hosting fees."/>
  </r>
  <r>
    <s v="Included White-Glove Customization Hours"/>
    <s v="B"/>
    <n v="13"/>
    <n v="13"/>
    <n v="1950"/>
    <n v="1950"/>
    <s v="Yellow"/>
    <x v="1"/>
    <x v="2"/>
    <m/>
    <n v="1"/>
    <m/>
    <n v="0"/>
    <n v="0"/>
    <n v="0"/>
    <n v="0"/>
    <n v="13"/>
    <n v="13"/>
    <n v="1950"/>
    <n v="1950"/>
    <n v="0"/>
    <n v="0"/>
    <n v="0"/>
    <n v="0"/>
    <s v="*The client is provided a total of 20 hours for integration customizations. In order to be able to provide custom development, there will be a need for a Project Manager to be assigned, as well as some meeting time to discuss the customizations, and finally some QA time to validate any customizations. With those all built in, this leaves you 13 hours for actual custom development. You may use this for customizing the integration workflows, helping with the field mappings, adding in custom entities, etc. Any time above the 13 hours used will be  billed at the standard rates."/>
  </r>
  <r>
    <s v="Discovery - Technical Analysis"/>
    <s v="BA"/>
    <m/>
    <n v="0"/>
    <n v="0"/>
    <n v="0"/>
    <s v="Dark Yellow"/>
    <x v="2"/>
    <x v="3"/>
    <m/>
    <n v="1"/>
    <m/>
    <n v="0"/>
    <n v="0"/>
    <n v="0"/>
    <n v="0"/>
    <n v="0"/>
    <n v="0"/>
    <n v="0"/>
    <n v="0"/>
    <n v="0"/>
    <n v="0"/>
    <n v="0"/>
    <n v="0"/>
    <s v="Time for the Clarity BA Team to conduct Discovery Sessions to document Business Logic and Client-Specific Requirements "/>
  </r>
  <r>
    <s v="Discovery - Requirements Documentation"/>
    <s v="BA"/>
    <m/>
    <n v="0"/>
    <n v="0"/>
    <n v="0"/>
    <s v="Dark Yellow"/>
    <x v="2"/>
    <x v="3"/>
    <m/>
    <n v="1"/>
    <m/>
    <n v="0"/>
    <n v="0"/>
    <n v="0"/>
    <n v="0"/>
    <n v="0"/>
    <n v="0"/>
    <n v="0"/>
    <n v="0"/>
    <n v="0"/>
    <n v="0"/>
    <n v="0"/>
    <n v="0"/>
    <s v="Time for the Clarity BA Team to create and FSD (Functional Specification Document) that details all client-specific customizations (Features Description, User Stories, Notes, and Related Documents) "/>
  </r>
  <r>
    <s v="Re-Estimations"/>
    <s v="BA"/>
    <m/>
    <n v="0"/>
    <n v="0"/>
    <n v="0"/>
    <s v="Dark Yellow"/>
    <x v="2"/>
    <x v="3"/>
    <m/>
    <n v="1"/>
    <m/>
    <n v="0"/>
    <n v="0"/>
    <n v="0"/>
    <n v="0"/>
    <n v="0"/>
    <n v="0"/>
    <n v="0"/>
    <n v="0"/>
    <n v="0"/>
    <n v="0"/>
    <n v="0"/>
    <n v="0"/>
    <s v="Time for Clarity's BA Team to conduct a formal Re-Estimations Meeting to task out and estimate all features in the FSD. "/>
  </r>
  <r>
    <s v="Payment Processor Configuration"/>
    <s v="B"/>
    <m/>
    <n v="0"/>
    <n v="0"/>
    <n v="0"/>
    <s v="Yellow"/>
    <x v="1"/>
    <x v="2"/>
    <m/>
    <n v="1"/>
    <m/>
    <n v="0"/>
    <n v="0"/>
    <n v="0"/>
    <n v="0"/>
    <n v="0"/>
    <n v="0"/>
    <n v="0"/>
    <n v="0"/>
    <n v="0"/>
    <n v="0"/>
    <n v="0"/>
    <n v="0"/>
    <m/>
  </r>
  <r>
    <s v="Customers Sync: Accounts Creation (Unidirectional to PayHub)"/>
    <s v="I"/>
    <m/>
    <n v="0"/>
    <n v="0"/>
    <n v="0"/>
    <s v="Orange"/>
    <x v="3"/>
    <x v="4"/>
    <m/>
    <n v="1"/>
    <m/>
    <n v="0"/>
    <n v="0"/>
    <n v="0"/>
    <n v="0"/>
    <n v="0"/>
    <n v="0"/>
    <n v="0"/>
    <n v="0"/>
    <n v="0"/>
    <n v="0"/>
    <n v="0"/>
    <n v="0"/>
    <m/>
  </r>
  <r>
    <s v="Customers Sync: User Creation (Unidirectional to PayHub)"/>
    <s v="I"/>
    <m/>
    <n v="0"/>
    <n v="0"/>
    <n v="0"/>
    <s v="Orange"/>
    <x v="3"/>
    <x v="4"/>
    <m/>
    <n v="1"/>
    <m/>
    <n v="0"/>
    <n v="0"/>
    <n v="0"/>
    <n v="0"/>
    <n v="0"/>
    <n v="0"/>
    <n v="0"/>
    <n v="0"/>
    <n v="0"/>
    <n v="0"/>
    <n v="0"/>
    <n v="0"/>
    <m/>
  </r>
  <r>
    <s v="Customers Sync: Address Creation (Unidirectional to PayHub)"/>
    <s v="I"/>
    <m/>
    <n v="0"/>
    <n v="0"/>
    <n v="0"/>
    <s v="Orange"/>
    <x v="3"/>
    <x v="4"/>
    <m/>
    <n v="1"/>
    <m/>
    <n v="0"/>
    <n v="0"/>
    <n v="0"/>
    <n v="0"/>
    <n v="0"/>
    <n v="0"/>
    <n v="0"/>
    <n v="0"/>
    <n v="0"/>
    <n v="0"/>
    <n v="0"/>
    <n v="0"/>
    <m/>
  </r>
  <r>
    <s v="Invoices Sync (Bidirectional)"/>
    <s v="I"/>
    <m/>
    <n v="0"/>
    <n v="0"/>
    <n v="0"/>
    <s v="Orange"/>
    <x v="3"/>
    <x v="4"/>
    <m/>
    <n v="1"/>
    <m/>
    <n v="0"/>
    <n v="0"/>
    <n v="0"/>
    <n v="0"/>
    <n v="0"/>
    <n v="0"/>
    <n v="0"/>
    <n v="0"/>
    <n v="0"/>
    <n v="0"/>
    <n v="0"/>
    <n v="0"/>
    <m/>
  </r>
  <r>
    <s v="Payments Syncs (Unidirectional to Client's ERP)"/>
    <s v="I"/>
    <m/>
    <n v="0"/>
    <n v="0"/>
    <n v="0"/>
    <s v="Orange"/>
    <x v="3"/>
    <x v="4"/>
    <m/>
    <n v="1"/>
    <m/>
    <n v="0"/>
    <n v="0"/>
    <n v="0"/>
    <n v="0"/>
    <n v="0"/>
    <n v="0"/>
    <n v="0"/>
    <n v="0"/>
    <n v="0"/>
    <n v="0"/>
    <n v="0"/>
    <n v="0"/>
    <m/>
  </r>
  <r>
    <s v="QA, Bug Fix, User Story testing"/>
    <s v="QA"/>
    <n v="2"/>
    <n v="2"/>
    <n v="300"/>
    <n v="300"/>
    <s v="Dark Yellow"/>
    <x v="4"/>
    <x v="5"/>
    <m/>
    <n v="1"/>
    <m/>
    <n v="0"/>
    <n v="0"/>
    <n v="0"/>
    <n v="0"/>
    <n v="2"/>
    <n v="2"/>
    <n v="300"/>
    <n v="300"/>
    <n v="0"/>
    <n v="0"/>
    <n v="0"/>
    <n v="0"/>
    <s v="*Unit and pre-launch use case testing"/>
  </r>
  <r>
    <s v="Meetings"/>
    <s v="MTG"/>
    <n v="1"/>
    <n v="1"/>
    <n v="150"/>
    <n v="150"/>
    <s v="Blue"/>
    <x v="5"/>
    <x v="6"/>
    <n v="0.3"/>
    <n v="0.7"/>
    <m/>
    <n v="0.3"/>
    <n v="0.3"/>
    <n v="45"/>
    <n v="45"/>
    <n v="0.7"/>
    <n v="0.7"/>
    <n v="105"/>
    <n v="105"/>
    <n v="0"/>
    <n v="0"/>
    <n v="0"/>
    <n v="0"/>
    <s v="*Depends on clients' needs (more meetings, more people = more time)"/>
  </r>
  <r>
    <s v="Project Management"/>
    <s v="PM"/>
    <n v="4"/>
    <n v="4"/>
    <n v="600"/>
    <n v="600"/>
    <s v="Dark Green"/>
    <x v="6"/>
    <x v="7"/>
    <n v="0.3"/>
    <n v="0.7"/>
    <m/>
    <n v="1.2"/>
    <n v="1.2"/>
    <n v="180"/>
    <n v="180"/>
    <n v="2.8"/>
    <n v="2.8"/>
    <n v="420"/>
    <n v="420"/>
    <n v="0"/>
    <n v="0"/>
    <n v="0"/>
    <n v="0"/>
    <s v="*Clarity Project Management, Invoicing, Sprint planning, Gantt, etc."/>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4">
  <r>
    <s v="Week 1"/>
    <x v="0"/>
    <x v="0"/>
    <n v="2"/>
    <n v="9"/>
    <n v="1"/>
    <n v="113"/>
    <m/>
    <m/>
    <n v="113"/>
  </r>
  <r>
    <s v="Week 2"/>
    <x v="0"/>
    <x v="0"/>
    <n v="1"/>
    <n v="9"/>
    <n v="1"/>
    <n v="113"/>
    <m/>
    <m/>
    <n v="113"/>
  </r>
  <r>
    <s v="Week 3"/>
    <x v="0"/>
    <x v="0"/>
    <n v="0"/>
    <n v="8"/>
    <n v="1"/>
    <n v="0"/>
    <n v="1222"/>
    <n v="0"/>
    <n v="1222"/>
  </r>
  <r>
    <s v="Week 4"/>
    <x v="0"/>
    <x v="0"/>
    <n v="0"/>
    <n v="7"/>
    <n v="1"/>
    <n v="0"/>
    <n v="1222"/>
    <n v="0"/>
    <n v="1222"/>
  </r>
  <r>
    <s v="Week 5"/>
    <x v="1"/>
    <x v="1"/>
    <n v="0"/>
    <n v="6"/>
    <n v="1"/>
    <n v="0"/>
    <n v="1222"/>
    <n v="0"/>
    <n v="1222"/>
  </r>
  <r>
    <s v="Week 6"/>
    <x v="1"/>
    <x v="1"/>
    <n v="0"/>
    <n v="5"/>
    <n v="1"/>
    <n v="0"/>
    <n v="1222"/>
    <n v="0"/>
    <n v="1222"/>
  </r>
  <r>
    <s v="Week 7"/>
    <x v="1"/>
    <x v="1"/>
    <n v="0"/>
    <n v="4"/>
    <n v="1"/>
    <n v="0"/>
    <n v="1222"/>
    <n v="0"/>
    <n v="1222"/>
  </r>
  <r>
    <s v="Week 8"/>
    <x v="1"/>
    <x v="1"/>
    <n v="0"/>
    <n v="3"/>
    <n v="1"/>
    <n v="0"/>
    <n v="1222"/>
    <n v="0"/>
    <n v="1222"/>
  </r>
  <r>
    <s v="Week 9"/>
    <x v="2"/>
    <x v="2"/>
    <n v="0"/>
    <n v="2"/>
    <n v="1"/>
    <n v="0"/>
    <n v="1222"/>
    <n v="0"/>
    <n v="1222"/>
  </r>
  <r>
    <s v="Week 10"/>
    <x v="2"/>
    <x v="2"/>
    <n v="0"/>
    <n v="1"/>
    <n v="1"/>
    <n v="0"/>
    <n v="1222"/>
    <n v="0"/>
    <n v="1222"/>
  </r>
  <r>
    <s v="Week 11"/>
    <x v="2"/>
    <x v="2"/>
    <n v="0"/>
    <n v="0"/>
    <n v="0"/>
    <n v="0"/>
    <n v="0"/>
    <n v="0"/>
    <n v="0"/>
  </r>
  <r>
    <s v="Week 12"/>
    <x v="2"/>
    <x v="2"/>
    <n v="0"/>
    <n v="-1"/>
    <n v="-1"/>
    <n v="0"/>
    <n v="0"/>
    <n v="0"/>
    <n v="0"/>
  </r>
  <r>
    <s v="Week 13"/>
    <x v="3"/>
    <x v="3"/>
    <n v="0"/>
    <n v="-2"/>
    <n v="-2"/>
    <n v="0"/>
    <n v="0"/>
    <n v="0"/>
    <n v="0"/>
  </r>
  <r>
    <s v="Week 14"/>
    <x v="3"/>
    <x v="3"/>
    <n v="0"/>
    <n v="-3"/>
    <n v="-3"/>
    <n v="0"/>
    <n v="0"/>
    <n v="0"/>
    <n v="0"/>
  </r>
  <r>
    <s v="Week 15"/>
    <x v="3"/>
    <x v="3"/>
    <n v="0"/>
    <n v="-4"/>
    <n v="-4"/>
    <n v="0"/>
    <n v="0"/>
    <n v="0"/>
    <n v="0"/>
  </r>
  <r>
    <s v="Week 16"/>
    <x v="3"/>
    <x v="3"/>
    <n v="0"/>
    <n v="-5"/>
    <n v="-5"/>
    <n v="0"/>
    <n v="0"/>
    <n v="0"/>
    <n v="0"/>
  </r>
  <r>
    <s v="Week 17"/>
    <x v="4"/>
    <x v="4"/>
    <n v="0"/>
    <n v="-6"/>
    <n v="-6"/>
    <n v="0"/>
    <n v="0"/>
    <n v="0"/>
    <n v="0"/>
  </r>
  <r>
    <s v="Week 18"/>
    <x v="4"/>
    <x v="4"/>
    <n v="0"/>
    <n v="-7"/>
    <n v="-7"/>
    <n v="0"/>
    <n v="0"/>
    <n v="0"/>
    <n v="0"/>
  </r>
  <r>
    <s v="Week 19"/>
    <x v="4"/>
    <x v="4"/>
    <n v="0"/>
    <n v="-8"/>
    <n v="-8"/>
    <n v="0"/>
    <n v="0"/>
    <n v="0"/>
    <n v="0"/>
  </r>
  <r>
    <s v="Week 20"/>
    <x v="4"/>
    <x v="4"/>
    <n v="0"/>
    <n v="-9"/>
    <n v="-9"/>
    <n v="0"/>
    <n v="0"/>
    <n v="0"/>
    <n v="0"/>
  </r>
  <r>
    <s v="Week 21"/>
    <x v="5"/>
    <x v="5"/>
    <n v="0"/>
    <n v="-10"/>
    <n v="-10"/>
    <n v="0"/>
    <n v="0"/>
    <n v="0"/>
    <n v="0"/>
  </r>
  <r>
    <s v="Week 22"/>
    <x v="5"/>
    <x v="5"/>
    <n v="0"/>
    <n v="-11"/>
    <n v="-11"/>
    <n v="0"/>
    <n v="0"/>
    <n v="0"/>
    <n v="0"/>
  </r>
  <r>
    <s v="Week 23"/>
    <x v="5"/>
    <x v="5"/>
    <n v="0"/>
    <n v="-12"/>
    <n v="-12"/>
    <n v="0"/>
    <n v="0"/>
    <n v="0"/>
    <n v="0"/>
  </r>
  <r>
    <s v="Week 24"/>
    <x v="5"/>
    <x v="5"/>
    <n v="0"/>
    <n v="-13"/>
    <n v="-13"/>
    <n v="0"/>
    <n v="0"/>
    <n v="0"/>
    <n v="0"/>
  </r>
  <r>
    <s v="Week 25"/>
    <x v="6"/>
    <x v="6"/>
    <n v="0"/>
    <n v="-14"/>
    <n v="-14"/>
    <n v="0"/>
    <n v="0"/>
    <n v="0"/>
    <n v="0"/>
  </r>
  <r>
    <s v="Week 26"/>
    <x v="6"/>
    <x v="6"/>
    <n v="0"/>
    <n v="-15"/>
    <n v="-15"/>
    <n v="0"/>
    <n v="0"/>
    <n v="0"/>
    <n v="0"/>
  </r>
  <r>
    <s v="Week 27"/>
    <x v="6"/>
    <x v="6"/>
    <n v="0"/>
    <n v="-16"/>
    <n v="-16"/>
    <n v="0"/>
    <n v="0"/>
    <n v="0"/>
    <n v="0"/>
  </r>
  <r>
    <s v="Week 28"/>
    <x v="6"/>
    <x v="6"/>
    <n v="0"/>
    <n v="-17"/>
    <n v="-17"/>
    <n v="0"/>
    <n v="0"/>
    <n v="0"/>
    <n v="0"/>
  </r>
  <r>
    <s v="Week 29"/>
    <x v="7"/>
    <x v="7"/>
    <n v="0"/>
    <n v="-18"/>
    <n v="-18"/>
    <n v="0"/>
    <n v="0"/>
    <n v="0"/>
    <n v="0"/>
  </r>
  <r>
    <s v="Week 30"/>
    <x v="7"/>
    <x v="7"/>
    <n v="0"/>
    <n v="-19"/>
    <n v="-19"/>
    <n v="0"/>
    <n v="0"/>
    <n v="0"/>
    <n v="0"/>
  </r>
  <r>
    <s v="Week 31"/>
    <x v="7"/>
    <x v="7"/>
    <n v="0"/>
    <n v="-20"/>
    <n v="-20"/>
    <n v="0"/>
    <n v="0"/>
    <n v="0"/>
    <n v="0"/>
  </r>
  <r>
    <s v="Week 32"/>
    <x v="7"/>
    <x v="7"/>
    <n v="0"/>
    <n v="-21"/>
    <n v="-21"/>
    <n v="0"/>
    <n v="0"/>
    <n v="0"/>
    <n v="0"/>
  </r>
  <r>
    <s v="Week 33"/>
    <x v="8"/>
    <x v="8"/>
    <n v="0"/>
    <n v="-22"/>
    <n v="-22"/>
    <n v="0"/>
    <n v="0"/>
    <n v="0"/>
    <n v="0"/>
  </r>
  <r>
    <s v="Week 34"/>
    <x v="8"/>
    <x v="8"/>
    <n v="0"/>
    <n v="-23"/>
    <n v="-23"/>
    <n v="0"/>
    <n v="0"/>
    <n v="0"/>
    <n v="0"/>
  </r>
  <r>
    <s v="Week 35"/>
    <x v="8"/>
    <x v="8"/>
    <n v="0"/>
    <n v="-24"/>
    <n v="-24"/>
    <n v="0"/>
    <n v="0"/>
    <n v="0"/>
    <n v="0"/>
  </r>
  <r>
    <s v="Week 36"/>
    <x v="8"/>
    <x v="8"/>
    <n v="0"/>
    <n v="-25"/>
    <n v="-25"/>
    <n v="0"/>
    <n v="0"/>
    <n v="0"/>
    <n v="0"/>
  </r>
  <r>
    <s v="Week 37"/>
    <x v="9"/>
    <x v="9"/>
    <n v="0"/>
    <n v="-26"/>
    <n v="-26"/>
    <n v="0"/>
    <n v="0"/>
    <n v="0"/>
    <n v="0"/>
  </r>
  <r>
    <s v="Week 38"/>
    <x v="9"/>
    <x v="9"/>
    <n v="0"/>
    <n v="-27"/>
    <n v="-27"/>
    <n v="0"/>
    <n v="0"/>
    <n v="0"/>
    <n v="0"/>
  </r>
  <r>
    <s v="Week 39"/>
    <x v="9"/>
    <x v="9"/>
    <n v="0"/>
    <n v="-28"/>
    <n v="-28"/>
    <n v="0"/>
    <n v="0"/>
    <n v="0"/>
    <n v="0"/>
  </r>
  <r>
    <s v="Week 40"/>
    <x v="9"/>
    <x v="9"/>
    <n v="0"/>
    <n v="-29"/>
    <n v="-29"/>
    <n v="0"/>
    <n v="0"/>
    <n v="0"/>
    <n v="0"/>
  </r>
  <r>
    <s v="Week 41"/>
    <x v="10"/>
    <x v="10"/>
    <n v="0"/>
    <n v="-30"/>
    <n v="-30"/>
    <n v="0"/>
    <n v="0"/>
    <n v="0"/>
    <n v="0"/>
  </r>
  <r>
    <s v="Week 42"/>
    <x v="10"/>
    <x v="10"/>
    <n v="0"/>
    <n v="-31"/>
    <n v="-31"/>
    <n v="0"/>
    <n v="0"/>
    <n v="0"/>
    <n v="0"/>
  </r>
  <r>
    <s v="Week 43"/>
    <x v="10"/>
    <x v="10"/>
    <n v="0"/>
    <n v="-32"/>
    <n v="-32"/>
    <n v="0"/>
    <n v="0"/>
    <n v="0"/>
    <n v="0"/>
  </r>
  <r>
    <s v="Week 44"/>
    <x v="10"/>
    <x v="10"/>
    <n v="0"/>
    <n v="-33"/>
    <n v="-33"/>
    <n v="0"/>
    <n v="0"/>
    <n v="0"/>
    <n v="0"/>
  </r>
  <r>
    <s v="Week 45"/>
    <x v="11"/>
    <x v="11"/>
    <n v="0"/>
    <n v="-34"/>
    <n v="-34"/>
    <n v="0"/>
    <n v="0"/>
    <n v="0"/>
    <n v="0"/>
  </r>
  <r>
    <s v="Week 46"/>
    <x v="11"/>
    <x v="11"/>
    <n v="0"/>
    <n v="-35"/>
    <n v="-35"/>
    <n v="0"/>
    <n v="0"/>
    <n v="0"/>
    <n v="0"/>
  </r>
  <r>
    <s v="Week 47"/>
    <x v="11"/>
    <x v="11"/>
    <n v="0"/>
    <n v="-36"/>
    <n v="-36"/>
    <n v="0"/>
    <n v="0"/>
    <n v="0"/>
    <n v="0"/>
  </r>
  <r>
    <s v="Week 48"/>
    <x v="11"/>
    <x v="11"/>
    <n v="0"/>
    <n v="-37"/>
    <n v="-37"/>
    <n v="0"/>
    <n v="0"/>
    <n v="0"/>
    <n v="0"/>
  </r>
  <r>
    <s v="Week 49"/>
    <x v="12"/>
    <x v="0"/>
    <n v="0"/>
    <n v="-38"/>
    <n v="-38"/>
    <n v="0"/>
    <n v="0"/>
    <n v="0"/>
    <n v="0"/>
  </r>
  <r>
    <s v="Week 50"/>
    <x v="12"/>
    <x v="0"/>
    <n v="0"/>
    <n v="-39"/>
    <n v="-39"/>
    <n v="0"/>
    <n v="0"/>
    <n v="0"/>
    <n v="0"/>
  </r>
  <r>
    <s v="Week 51"/>
    <x v="12"/>
    <x v="0"/>
    <n v="0"/>
    <n v="-40"/>
    <n v="-40"/>
    <n v="0"/>
    <n v="0"/>
    <n v="0"/>
    <n v="0"/>
  </r>
  <r>
    <s v="Week 52"/>
    <x v="12"/>
    <x v="0"/>
    <n v="0"/>
    <n v="-41"/>
    <n v="-41"/>
    <n v="0"/>
    <n v="0"/>
    <n v="0"/>
    <n v="0"/>
  </r>
  <r>
    <s v="Week 53"/>
    <x v="13"/>
    <x v="1"/>
    <n v="0"/>
    <n v="-42"/>
    <n v="-42"/>
    <n v="0"/>
    <n v="0"/>
    <n v="0"/>
    <n v="0"/>
  </r>
  <r>
    <s v="Week 54"/>
    <x v="13"/>
    <x v="1"/>
    <n v="0"/>
    <n v="-43"/>
    <n v="-43"/>
    <n v="0"/>
    <n v="0"/>
    <n v="0"/>
    <n v="0"/>
  </r>
  <r>
    <s v="Week 55"/>
    <x v="13"/>
    <x v="1"/>
    <n v="0"/>
    <n v="-44"/>
    <n v="-44"/>
    <n v="0"/>
    <n v="0"/>
    <n v="0"/>
    <n v="0"/>
  </r>
  <r>
    <s v="Week 56"/>
    <x v="13"/>
    <x v="1"/>
    <n v="0"/>
    <n v="-45"/>
    <n v="-45"/>
    <n v="0"/>
    <n v="0"/>
    <n v="0"/>
    <n v="0"/>
  </r>
  <r>
    <s v="Week 57"/>
    <x v="14"/>
    <x v="2"/>
    <n v="0"/>
    <n v="-46"/>
    <n v="-46"/>
    <n v="0"/>
    <n v="0"/>
    <n v="0"/>
    <n v="0"/>
  </r>
  <r>
    <s v="Week 58"/>
    <x v="14"/>
    <x v="2"/>
    <n v="0"/>
    <n v="-47"/>
    <n v="-47"/>
    <n v="0"/>
    <n v="0"/>
    <n v="0"/>
    <n v="0"/>
  </r>
  <r>
    <s v="Week 59"/>
    <x v="14"/>
    <x v="2"/>
    <n v="0"/>
    <n v="-48"/>
    <n v="-48"/>
    <n v="0"/>
    <n v="0"/>
    <n v="0"/>
    <n v="0"/>
  </r>
  <r>
    <s v="Week 60"/>
    <x v="14"/>
    <x v="2"/>
    <n v="0"/>
    <n v="-49"/>
    <n v="-49"/>
    <n v="0"/>
    <n v="0"/>
    <n v="0"/>
    <n v="0"/>
  </r>
  <r>
    <s v="Week 61"/>
    <x v="15"/>
    <x v="3"/>
    <n v="0"/>
    <n v="-50"/>
    <n v="-50"/>
    <n v="0"/>
    <n v="0"/>
    <n v="0"/>
    <n v="0"/>
  </r>
  <r>
    <s v="Week 62"/>
    <x v="15"/>
    <x v="3"/>
    <n v="0"/>
    <n v="-51"/>
    <n v="-51"/>
    <n v="0"/>
    <n v="0"/>
    <n v="0"/>
    <n v="0"/>
  </r>
  <r>
    <s v="Week 63"/>
    <x v="15"/>
    <x v="3"/>
    <n v="0"/>
    <n v="-52"/>
    <n v="-52"/>
    <n v="0"/>
    <n v="0"/>
    <n v="0"/>
    <n v="0"/>
  </r>
  <r>
    <s v="Week 64"/>
    <x v="15"/>
    <x v="3"/>
    <n v="0"/>
    <n v="-53"/>
    <n v="-53"/>
    <n v="0"/>
    <n v="0"/>
    <n v="0"/>
    <n v="0"/>
  </r>
  <r>
    <s v="Week 65"/>
    <x v="16"/>
    <x v="4"/>
    <n v="0"/>
    <n v="-54"/>
    <n v="-54"/>
    <n v="0"/>
    <n v="0"/>
    <n v="0"/>
    <n v="0"/>
  </r>
  <r>
    <s v="Week 66"/>
    <x v="16"/>
    <x v="4"/>
    <n v="0"/>
    <n v="-55"/>
    <n v="-55"/>
    <n v="0"/>
    <n v="0"/>
    <n v="0"/>
    <n v="0"/>
  </r>
  <r>
    <s v="Week 67"/>
    <x v="16"/>
    <x v="4"/>
    <n v="0"/>
    <n v="-56"/>
    <n v="-56"/>
    <n v="0"/>
    <n v="0"/>
    <n v="0"/>
    <n v="0"/>
  </r>
  <r>
    <s v="Week 68"/>
    <x v="16"/>
    <x v="4"/>
    <n v="0"/>
    <n v="-57"/>
    <n v="-57"/>
    <n v="0"/>
    <n v="0"/>
    <n v="0"/>
    <n v="0"/>
  </r>
  <r>
    <s v="Week 69"/>
    <x v="17"/>
    <x v="5"/>
    <n v="0"/>
    <n v="-58"/>
    <n v="-58"/>
    <n v="0"/>
    <n v="0"/>
    <n v="0"/>
    <n v="0"/>
  </r>
  <r>
    <s v="Week 70"/>
    <x v="17"/>
    <x v="5"/>
    <n v="0"/>
    <n v="-59"/>
    <n v="-59"/>
    <n v="0"/>
    <n v="0"/>
    <n v="0"/>
    <n v="0"/>
  </r>
  <r>
    <s v="Week 71"/>
    <x v="17"/>
    <x v="5"/>
    <n v="0"/>
    <n v="-60"/>
    <n v="-60"/>
    <n v="0"/>
    <n v="0"/>
    <n v="0"/>
    <n v="0"/>
  </r>
  <r>
    <s v="Week 72"/>
    <x v="17"/>
    <x v="5"/>
    <n v="0"/>
    <n v="-61"/>
    <n v="-61"/>
    <n v="0"/>
    <n v="0"/>
    <n v="0"/>
    <n v="0"/>
  </r>
  <r>
    <s v="Week 73"/>
    <x v="18"/>
    <x v="6"/>
    <n v="0"/>
    <n v="-62"/>
    <n v="-62"/>
    <n v="0"/>
    <n v="0"/>
    <n v="0"/>
    <n v="0"/>
  </r>
  <r>
    <s v="Week 74"/>
    <x v="18"/>
    <x v="6"/>
    <n v="0"/>
    <n v="-63"/>
    <n v="-63"/>
    <n v="0"/>
    <n v="0"/>
    <n v="0"/>
    <n v="0"/>
  </r>
  <r>
    <s v="Week 75"/>
    <x v="18"/>
    <x v="6"/>
    <n v="0"/>
    <n v="-64"/>
    <n v="-64"/>
    <n v="0"/>
    <n v="0"/>
    <n v="0"/>
    <n v="0"/>
  </r>
  <r>
    <s v="Week 76"/>
    <x v="18"/>
    <x v="6"/>
    <n v="0"/>
    <n v="-65"/>
    <n v="-65"/>
    <n v="0"/>
    <n v="0"/>
    <n v="0"/>
    <n v="0"/>
  </r>
  <r>
    <s v="Week 77"/>
    <x v="19"/>
    <x v="7"/>
    <n v="0"/>
    <n v="-66"/>
    <n v="-66"/>
    <n v="0"/>
    <n v="0"/>
    <n v="0"/>
    <n v="0"/>
  </r>
  <r>
    <s v="Week 78"/>
    <x v="19"/>
    <x v="7"/>
    <n v="0"/>
    <n v="-67"/>
    <n v="-67"/>
    <n v="0"/>
    <n v="0"/>
    <n v="0"/>
    <n v="0"/>
  </r>
  <r>
    <s v="Week 79"/>
    <x v="19"/>
    <x v="7"/>
    <n v="0"/>
    <n v="-68"/>
    <n v="-68"/>
    <n v="0"/>
    <n v="0"/>
    <n v="0"/>
    <n v="0"/>
  </r>
  <r>
    <s v="Week 80"/>
    <x v="19"/>
    <x v="7"/>
    <n v="0"/>
    <n v="-69"/>
    <n v="-69"/>
    <n v="0"/>
    <n v="0"/>
    <n v="0"/>
    <n v="0"/>
  </r>
  <r>
    <s v="Variance 1"/>
    <x v="20"/>
    <x v="12"/>
    <n v="0"/>
    <n v="-70"/>
    <n v="-70"/>
    <n v="0"/>
    <n v="0"/>
    <n v="0"/>
    <n v="0"/>
  </r>
  <r>
    <s v="Variance 2"/>
    <x v="21"/>
    <x v="13"/>
    <n v="0"/>
    <n v="-71"/>
    <n v="-71"/>
    <n v="0"/>
    <n v="0"/>
    <n v="0"/>
    <n v="0"/>
  </r>
  <r>
    <s v="Variance 3"/>
    <x v="22"/>
    <x v="14"/>
    <n v="0"/>
    <n v="-72"/>
    <n v="-72"/>
    <n v="0"/>
    <n v="0"/>
    <n v="0"/>
    <n v="0"/>
  </r>
  <r>
    <s v="Variance 4"/>
    <x v="23"/>
    <x v="15"/>
    <n v="0"/>
    <n v="-73"/>
    <n v="-73"/>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2:Q10" firstHeaderRow="0" firstDataRow="1" firstDataCol="1"/>
  <pivotFields count="25">
    <pivotField showAll="0" defaultSubtotal="0"/>
    <pivotField showAll="0"/>
    <pivotField dataField="1" showAll="0"/>
    <pivotField dataField="1" showAll="0"/>
    <pivotField dataField="1" numFmtId="44" showAll="0"/>
    <pivotField dataField="1" numFmtId="44" showAll="0"/>
    <pivotField showAll="0"/>
    <pivotField axis="axisRow" showAll="0" defaultSubtotal="0">
      <items count="11">
        <item x="1"/>
        <item m="1" x="9"/>
        <item m="1" x="10"/>
        <item x="3"/>
        <item x="0"/>
        <item x="5"/>
        <item x="6"/>
        <item x="4"/>
        <item m="1" x="8"/>
        <item x="2"/>
        <item m="1" x="7"/>
      </items>
    </pivotField>
    <pivotField showAll="0" measureFilter="1" sortType="ascending">
      <items count="12">
        <item m="1" x="8"/>
        <item m="1" x="10"/>
        <item m="1" x="9"/>
        <item x="6"/>
        <item x="2"/>
        <item x="3"/>
        <item x="1"/>
        <item x="0"/>
        <item x="4"/>
        <item x="7"/>
        <item x="5"/>
        <item t="default"/>
      </items>
    </pivotField>
    <pivotField showAll="0" defaultSubtotal="0"/>
    <pivotField showAll="0" defaultSubtotal="0"/>
    <pivotField showAll="0" defaultSubtotal="0"/>
    <pivotField dataField="1" showAll="0" defaultSubtotal="0"/>
    <pivotField dataField="1" showAll="0" defaultSubtotal="0"/>
    <pivotField dataField="1" numFmtId="44" showAll="0" defaultSubtotal="0"/>
    <pivotField dataField="1" numFmtId="44" showAll="0" defaultSubtotal="0"/>
    <pivotField dataField="1" showAll="0" defaultSubtotal="0"/>
    <pivotField dataField="1" showAll="0" defaultSubtotal="0"/>
    <pivotField dataField="1" numFmtId="44" showAll="0" defaultSubtotal="0"/>
    <pivotField dataField="1" numFmtId="44" showAll="0" defaultSubtotal="0"/>
    <pivotField dataField="1" showAll="0" defaultSubtotal="0"/>
    <pivotField dataField="1" showAll="0" defaultSubtotal="0"/>
    <pivotField dataField="1" numFmtId="44" showAll="0" defaultSubtotal="0"/>
    <pivotField dataField="1" numFmtId="44" showAll="0" defaultSubtotal="0"/>
    <pivotField showAll="0" defaultSubtotal="0"/>
  </pivotFields>
  <rowFields count="1">
    <field x="7"/>
  </rowFields>
  <rowItems count="8">
    <i>
      <x/>
    </i>
    <i>
      <x v="3"/>
    </i>
    <i>
      <x v="4"/>
    </i>
    <i>
      <x v="5"/>
    </i>
    <i>
      <x v="6"/>
    </i>
    <i>
      <x v="7"/>
    </i>
    <i>
      <x v="9"/>
    </i>
    <i t="grand">
      <x/>
    </i>
  </rowItems>
  <colFields count="1">
    <field x="-2"/>
  </colFields>
  <colItems count="16">
    <i>
      <x/>
    </i>
    <i i="1">
      <x v="1"/>
    </i>
    <i i="2">
      <x v="2"/>
    </i>
    <i i="3">
      <x v="3"/>
    </i>
    <i i="4">
      <x v="4"/>
    </i>
    <i i="5">
      <x v="5"/>
    </i>
    <i i="6">
      <x v="6"/>
    </i>
    <i i="7">
      <x v="7"/>
    </i>
    <i i="8">
      <x v="8"/>
    </i>
    <i i="9">
      <x v="9"/>
    </i>
    <i i="10">
      <x v="10"/>
    </i>
    <i i="11">
      <x v="11"/>
    </i>
    <i i="12">
      <x v="12"/>
    </i>
    <i i="13">
      <x v="13"/>
    </i>
    <i i="14">
      <x v="14"/>
    </i>
    <i i="15">
      <x v="15"/>
    </i>
  </colItems>
  <dataFields count="16">
    <dataField name="Low Hrs" fld="2" baseField="0" baseItem="0"/>
    <dataField name="Hi Hrs" fld="3" baseField="0" baseItem="0"/>
    <dataField name="Low Rate" fld="4" baseField="7" baseItem="2" numFmtId="164"/>
    <dataField name="Hi Rate" fld="5" baseField="7" baseItem="2" numFmtId="164"/>
    <dataField name="PI Lo Hr" fld="12" baseField="0" baseItem="0"/>
    <dataField name="PI Hi Hr" fld="13" baseField="0" baseItem="0"/>
    <dataField name="Phase 1 Lo" fld="14" baseField="0" baseItem="0" numFmtId="164"/>
    <dataField name="Phase 1 Hi" fld="15" baseField="0" baseItem="0" numFmtId="164"/>
    <dataField name="P2 Lo Hr" fld="16" baseField="0" baseItem="0"/>
    <dataField name="P2 Hi Hr" fld="17" baseField="0" baseItem="0"/>
    <dataField name="Phase 2 Lo" fld="18" baseField="0" baseItem="0" numFmtId="164"/>
    <dataField name="Phase 2 HI" fld="19" baseField="0" baseItem="0" numFmtId="164"/>
    <dataField name="P3 Lo Hr" fld="20" baseField="0" baseItem="0"/>
    <dataField name="P3 Hi Hr" fld="21" baseField="0" baseItem="0"/>
    <dataField name="Phase 3 Lo" fld="22" baseField="0" baseItem="0" numFmtId="164"/>
    <dataField name="Phase 3 Hi" fld="23" baseField="0" baseItem="0" numFmtId="164"/>
  </dataFields>
  <formats count="96">
    <format dxfId="154">
      <pivotArea field="8" grandRow="1" outline="0" collapsedLevelsAreSubtotals="1">
        <references count="1">
          <reference field="4294967294" count="4" selected="0">
            <x v="6"/>
            <x v="7"/>
            <x v="10"/>
            <x v="11"/>
          </reference>
        </references>
      </pivotArea>
    </format>
    <format dxfId="153">
      <pivotArea outline="0" collapsedLevelsAreSubtotals="1" fieldPosition="0">
        <references count="1">
          <reference field="4294967294" count="6" selected="0">
            <x v="2"/>
            <x v="3"/>
            <x v="6"/>
            <x v="7"/>
            <x v="10"/>
            <x v="11"/>
          </reference>
        </references>
      </pivotArea>
    </format>
    <format dxfId="152">
      <pivotArea outline="0" collapsedLevelsAreSubtotals="1" fieldPosition="0">
        <references count="1">
          <reference field="4294967294" count="6" selected="0">
            <x v="2"/>
            <x v="3"/>
            <x v="6"/>
            <x v="7"/>
            <x v="10"/>
            <x v="11"/>
          </reference>
        </references>
      </pivotArea>
    </format>
    <format dxfId="151">
      <pivotArea outline="0" collapsedLevelsAreSubtotals="1" fieldPosition="0">
        <references count="1">
          <reference field="4294967294" count="6" selected="0">
            <x v="2"/>
            <x v="3"/>
            <x v="6"/>
            <x v="7"/>
            <x v="10"/>
            <x v="11"/>
          </reference>
        </references>
      </pivotArea>
    </format>
    <format dxfId="150">
      <pivotArea outline="0" collapsedLevelsAreSubtotals="1" fieldPosition="0">
        <references count="1">
          <reference field="4294967294" count="6" selected="0">
            <x v="2"/>
            <x v="3"/>
            <x v="6"/>
            <x v="7"/>
            <x v="10"/>
            <x v="11"/>
          </reference>
        </references>
      </pivotArea>
    </format>
    <format dxfId="149">
      <pivotArea outline="0" collapsedLevelsAreSubtotals="1" fieldPosition="0">
        <references count="1">
          <reference field="4294967294" count="6" selected="0">
            <x v="2"/>
            <x v="3"/>
            <x v="6"/>
            <x v="7"/>
            <x v="10"/>
            <x v="11"/>
          </reference>
        </references>
      </pivotArea>
    </format>
    <format dxfId="148">
      <pivotArea outline="0" collapsedLevelsAreSubtotals="1" fieldPosition="0">
        <references count="1">
          <reference field="4294967294" count="6" selected="0">
            <x v="2"/>
            <x v="3"/>
            <x v="6"/>
            <x v="7"/>
            <x v="10"/>
            <x v="11"/>
          </reference>
        </references>
      </pivotArea>
    </format>
    <format dxfId="147">
      <pivotArea type="origin" dataOnly="0" labelOnly="1" outline="0" fieldPosition="0"/>
    </format>
    <format dxfId="146">
      <pivotArea field="8" type="button" dataOnly="0" labelOnly="1" outline="0"/>
    </format>
    <format dxfId="145">
      <pivotArea field="-2" type="button" dataOnly="0" labelOnly="1" outline="0" axis="axisCol" fieldPosition="0"/>
    </format>
    <format dxfId="144">
      <pivotArea type="topRight" dataOnly="0" labelOnly="1" outline="0" fieldPosition="0"/>
    </format>
    <format dxfId="143">
      <pivotArea dataOnly="0" labelOnly="1" outline="0" fieldPosition="0">
        <references count="1">
          <reference field="4294967294" count="8">
            <x v="0"/>
            <x v="1"/>
            <x v="2"/>
            <x v="3"/>
            <x v="6"/>
            <x v="7"/>
            <x v="10"/>
            <x v="11"/>
          </reference>
        </references>
      </pivotArea>
    </format>
    <format dxfId="142">
      <pivotArea dataOnly="0" labelOnly="1" outline="0" fieldPosition="0">
        <references count="1">
          <reference field="4294967294" count="2">
            <x v="14"/>
            <x v="15"/>
          </reference>
        </references>
      </pivotArea>
    </format>
    <format dxfId="141">
      <pivotArea type="all" dataOnly="0" outline="0" fieldPosition="0"/>
    </format>
    <format dxfId="140">
      <pivotArea grandRow="1" outline="0" collapsedLevelsAreSubtotals="1" fieldPosition="0"/>
    </format>
    <format dxfId="139">
      <pivotArea dataOnly="0" labelOnly="1" grandRow="1" outline="0" fieldPosition="0"/>
    </format>
    <format dxfId="138">
      <pivotArea grandRow="1" outline="0" collapsedLevelsAreSubtotals="1" fieldPosition="0"/>
    </format>
    <format dxfId="137">
      <pivotArea dataOnly="0" labelOnly="1" grandRow="1" outline="0" fieldPosition="0"/>
    </format>
    <format dxfId="136">
      <pivotArea type="all" dataOnly="0" outline="0" fieldPosition="0"/>
    </format>
    <format dxfId="135">
      <pivotArea grandRow="1" outline="0" collapsedLevelsAreSubtotals="1" fieldPosition="0"/>
    </format>
    <format dxfId="134">
      <pivotArea dataOnly="0" labelOnly="1" grandRow="1" outline="0" fieldPosition="0"/>
    </format>
    <format dxfId="133">
      <pivotArea grandRow="1" outline="0" collapsedLevelsAreSubtotals="1" fieldPosition="0"/>
    </format>
    <format dxfId="132">
      <pivotArea dataOnly="0" labelOnly="1" grandRow="1" outline="0" fieldPosition="0"/>
    </format>
    <format dxfId="131">
      <pivotArea grandRow="1" outline="0" collapsedLevelsAreSubtotals="1" fieldPosition="0"/>
    </format>
    <format dxfId="130">
      <pivotArea dataOnly="0" labelOnly="1" grandRow="1" outline="0" fieldPosition="0"/>
    </format>
    <format dxfId="129">
      <pivotArea grandRow="1" outline="0" collapsedLevelsAreSubtotals="1" fieldPosition="0"/>
    </format>
    <format dxfId="128">
      <pivotArea dataOnly="0" labelOnly="1" grandRow="1" outline="0" fieldPosition="0"/>
    </format>
    <format dxfId="127">
      <pivotArea grandRow="1" outline="0" collapsedLevelsAreSubtotals="1" fieldPosition="0"/>
    </format>
    <format dxfId="126">
      <pivotArea dataOnly="0" labelOnly="1" grandRow="1" outline="0" fieldPosition="0"/>
    </format>
    <format dxfId="125">
      <pivotArea grandRow="1" outline="0" collapsedLevelsAreSubtotals="1" fieldPosition="0"/>
    </format>
    <format dxfId="124">
      <pivotArea dataOnly="0" labelOnly="1" grandRow="1" outline="0" fieldPosition="0"/>
    </format>
    <format dxfId="123">
      <pivotArea grandRow="1" outline="0" collapsedLevelsAreSubtotals="1" fieldPosition="0"/>
    </format>
    <format dxfId="122">
      <pivotArea dataOnly="0" labelOnly="1" grandRow="1" outline="0" fieldPosition="0"/>
    </format>
    <format dxfId="121">
      <pivotArea grandRow="1" outline="0" collapsedLevelsAreSubtotals="1" fieldPosition="0"/>
    </format>
    <format dxfId="120">
      <pivotArea dataOnly="0" labelOnly="1" grandRow="1" outline="0" fieldPosition="0"/>
    </format>
    <format dxfId="119">
      <pivotArea grandRow="1" outline="0" collapsedLevelsAreSubtotals="1" fieldPosition="0"/>
    </format>
    <format dxfId="118">
      <pivotArea dataOnly="0" labelOnly="1" grandRow="1" outline="0" fieldPosition="0"/>
    </format>
    <format dxfId="117">
      <pivotArea type="all" dataOnly="0" outline="0" fieldPosition="0"/>
    </format>
    <format dxfId="116">
      <pivotArea outline="0" collapsedLevelsAreSubtotals="1" fieldPosition="0"/>
    </format>
    <format dxfId="115">
      <pivotArea field="7" type="button" dataOnly="0" labelOnly="1" outline="0" axis="axisRow" fieldPosition="0"/>
    </format>
    <format dxfId="114">
      <pivotArea dataOnly="0" labelOnly="1" fieldPosition="0">
        <references count="1">
          <reference field="7" count="0"/>
        </references>
      </pivotArea>
    </format>
    <format dxfId="113">
      <pivotArea dataOnly="0" labelOnly="1" grandRow="1" outline="0" fieldPosition="0"/>
    </format>
    <format dxfId="112">
      <pivotArea dataOnly="0" labelOnly="1" outline="0" fieldPosition="0">
        <references count="1">
          <reference field="4294967294" count="16">
            <x v="0"/>
            <x v="1"/>
            <x v="2"/>
            <x v="3"/>
            <x v="4"/>
            <x v="5"/>
            <x v="6"/>
            <x v="7"/>
            <x v="8"/>
            <x v="9"/>
            <x v="10"/>
            <x v="11"/>
            <x v="12"/>
            <x v="13"/>
            <x v="14"/>
            <x v="15"/>
          </reference>
        </references>
      </pivotArea>
    </format>
    <format dxfId="111">
      <pivotArea type="all" dataOnly="0" outline="0" fieldPosition="0"/>
    </format>
    <format dxfId="110">
      <pivotArea outline="0" collapsedLevelsAreSubtotals="1" fieldPosition="0"/>
    </format>
    <format dxfId="109">
      <pivotArea field="7" type="button" dataOnly="0" labelOnly="1" outline="0" axis="axisRow" fieldPosition="0"/>
    </format>
    <format dxfId="108">
      <pivotArea dataOnly="0" labelOnly="1" fieldPosition="0">
        <references count="1">
          <reference field="7" count="0"/>
        </references>
      </pivotArea>
    </format>
    <format dxfId="107">
      <pivotArea dataOnly="0" labelOnly="1" grandRow="1" outline="0" fieldPosition="0"/>
    </format>
    <format dxfId="106">
      <pivotArea dataOnly="0" labelOnly="1" outline="0" fieldPosition="0">
        <references count="1">
          <reference field="4294967294" count="16">
            <x v="0"/>
            <x v="1"/>
            <x v="2"/>
            <x v="3"/>
            <x v="4"/>
            <x v="5"/>
            <x v="6"/>
            <x v="7"/>
            <x v="8"/>
            <x v="9"/>
            <x v="10"/>
            <x v="11"/>
            <x v="12"/>
            <x v="13"/>
            <x v="14"/>
            <x v="15"/>
          </reference>
        </references>
      </pivotArea>
    </format>
    <format dxfId="105">
      <pivotArea field="7" type="button" dataOnly="0" labelOnly="1" outline="0" axis="axisRow" fieldPosition="0"/>
    </format>
    <format dxfId="104">
      <pivotArea dataOnly="0" labelOnly="1" outline="0" fieldPosition="0">
        <references count="1">
          <reference field="4294967294" count="16">
            <x v="0"/>
            <x v="1"/>
            <x v="2"/>
            <x v="3"/>
            <x v="4"/>
            <x v="5"/>
            <x v="6"/>
            <x v="7"/>
            <x v="8"/>
            <x v="9"/>
            <x v="10"/>
            <x v="11"/>
            <x v="12"/>
            <x v="13"/>
            <x v="14"/>
            <x v="15"/>
          </reference>
        </references>
      </pivotArea>
    </format>
    <format dxfId="103">
      <pivotArea grandRow="1" outline="0" collapsedLevelsAreSubtotals="1" fieldPosition="0"/>
    </format>
    <format dxfId="102">
      <pivotArea dataOnly="0" labelOnly="1" grandRow="1" outline="0" fieldPosition="0"/>
    </format>
    <format dxfId="101">
      <pivotArea field="7" type="button" dataOnly="0" labelOnly="1" outline="0" axis="axisRow" fieldPosition="0"/>
    </format>
    <format dxfId="100">
      <pivotArea dataOnly="0" labelOnly="1" outline="0" fieldPosition="0">
        <references count="1">
          <reference field="4294967294" count="16">
            <x v="0"/>
            <x v="1"/>
            <x v="2"/>
            <x v="3"/>
            <x v="4"/>
            <x v="5"/>
            <x v="6"/>
            <x v="7"/>
            <x v="8"/>
            <x v="9"/>
            <x v="10"/>
            <x v="11"/>
            <x v="12"/>
            <x v="13"/>
            <x v="14"/>
            <x v="15"/>
          </reference>
        </references>
      </pivotArea>
    </format>
    <format dxfId="99">
      <pivotArea grandRow="1" outline="0" collapsedLevelsAreSubtotals="1" fieldPosition="0"/>
    </format>
    <format dxfId="98">
      <pivotArea dataOnly="0" labelOnly="1" grandRow="1" outline="0" fieldPosition="0"/>
    </format>
    <format dxfId="97">
      <pivotArea field="7" type="button" dataOnly="0" labelOnly="1" outline="0" axis="axisRow" fieldPosition="0"/>
    </format>
    <format dxfId="96">
      <pivotArea dataOnly="0" labelOnly="1" outline="0" fieldPosition="0">
        <references count="1">
          <reference field="4294967294" count="16">
            <x v="0"/>
            <x v="1"/>
            <x v="2"/>
            <x v="3"/>
            <x v="4"/>
            <x v="5"/>
            <x v="6"/>
            <x v="7"/>
            <x v="8"/>
            <x v="9"/>
            <x v="10"/>
            <x v="11"/>
            <x v="12"/>
            <x v="13"/>
            <x v="14"/>
            <x v="15"/>
          </reference>
        </references>
      </pivotArea>
    </format>
    <format dxfId="95">
      <pivotArea grandRow="1" outline="0" collapsedLevelsAreSubtotals="1" fieldPosition="0"/>
    </format>
    <format dxfId="94">
      <pivotArea dataOnly="0" labelOnly="1" grandRow="1" outline="0" fieldPosition="0"/>
    </format>
    <format dxfId="93">
      <pivotArea grandRow="1" outline="0" collapsedLevelsAreSubtotals="1" fieldPosition="0"/>
    </format>
    <format dxfId="92">
      <pivotArea dataOnly="0" labelOnly="1" grandRow="1" outline="0" fieldPosition="0"/>
    </format>
    <format dxfId="91">
      <pivotArea grandRow="1" outline="0" collapsedLevelsAreSubtotals="1" fieldPosition="0"/>
    </format>
    <format dxfId="90">
      <pivotArea dataOnly="0" labelOnly="1" grandRow="1" outline="0" fieldPosition="0"/>
    </format>
    <format dxfId="89">
      <pivotArea field="7" grandRow="1" outline="0" collapsedLevelsAreSubtotals="1" axis="axisRow" fieldPosition="0">
        <references count="1">
          <reference field="4294967294" count="2" selected="0">
            <x v="2"/>
            <x v="3"/>
          </reference>
        </references>
      </pivotArea>
    </format>
    <format dxfId="88">
      <pivotArea field="7" grandRow="1" outline="0" collapsedLevelsAreSubtotals="1" axis="axisRow" fieldPosition="0">
        <references count="1">
          <reference field="4294967294" count="2" selected="0">
            <x v="6"/>
            <x v="7"/>
          </reference>
        </references>
      </pivotArea>
    </format>
    <format dxfId="87">
      <pivotArea field="7" grandRow="1" outline="0" collapsedLevelsAreSubtotals="1" axis="axisRow" fieldPosition="0">
        <references count="1">
          <reference field="4294967294" count="2" selected="0">
            <x v="10"/>
            <x v="11"/>
          </reference>
        </references>
      </pivotArea>
    </format>
    <format dxfId="86">
      <pivotArea field="7" grandRow="1" outline="0" collapsedLevelsAreSubtotals="1" axis="axisRow" fieldPosition="0">
        <references count="1">
          <reference field="4294967294" count="1" selected="0">
            <x v="2"/>
          </reference>
        </references>
      </pivotArea>
    </format>
    <format dxfId="85">
      <pivotArea field="7" grandRow="1" outline="0" collapsedLevelsAreSubtotals="1" axis="axisRow" fieldPosition="0">
        <references count="1">
          <reference field="4294967294" count="1" selected="0">
            <x v="3"/>
          </reference>
        </references>
      </pivotArea>
    </format>
    <format dxfId="84">
      <pivotArea field="7" grandRow="1" outline="0" collapsedLevelsAreSubtotals="1" axis="axisRow" fieldPosition="0">
        <references count="1">
          <reference field="4294967294" count="1" selected="0">
            <x v="7"/>
          </reference>
        </references>
      </pivotArea>
    </format>
    <format dxfId="83">
      <pivotArea field="7" grandRow="1" outline="0" collapsedLevelsAreSubtotals="1" axis="axisRow" fieldPosition="0">
        <references count="1">
          <reference field="4294967294" count="1" selected="0">
            <x v="6"/>
          </reference>
        </references>
      </pivotArea>
    </format>
    <format dxfId="82">
      <pivotArea field="7" grandRow="1" outline="0" collapsedLevelsAreSubtotals="1" axis="axisRow" fieldPosition="0">
        <references count="1">
          <reference field="4294967294" count="1" selected="0">
            <x v="10"/>
          </reference>
        </references>
      </pivotArea>
    </format>
    <format dxfId="81">
      <pivotArea field="7" grandRow="1" outline="0" collapsedLevelsAreSubtotals="1" axis="axisRow" fieldPosition="0">
        <references count="1">
          <reference field="4294967294" count="1" selected="0">
            <x v="11"/>
          </reference>
        </references>
      </pivotArea>
    </format>
    <format dxfId="80">
      <pivotArea field="7" grandRow="1" outline="0" collapsedLevelsAreSubtotals="1" axis="axisRow" fieldPosition="0">
        <references count="1">
          <reference field="4294967294" count="1" selected="0">
            <x v="2"/>
          </reference>
        </references>
      </pivotArea>
    </format>
    <format dxfId="79">
      <pivotArea field="7" grandRow="1" outline="0" collapsedLevelsAreSubtotals="1" axis="axisRow" fieldPosition="0">
        <references count="1">
          <reference field="4294967294" count="1" selected="0">
            <x v="3"/>
          </reference>
        </references>
      </pivotArea>
    </format>
    <format dxfId="78">
      <pivotArea field="7" grandRow="1" outline="0" collapsedLevelsAreSubtotals="1" axis="axisRow" fieldPosition="0">
        <references count="1">
          <reference field="4294967294" count="1" selected="0">
            <x v="7"/>
          </reference>
        </references>
      </pivotArea>
    </format>
    <format dxfId="77">
      <pivotArea field="7" grandRow="1" outline="0" collapsedLevelsAreSubtotals="1" axis="axisRow" fieldPosition="0">
        <references count="1">
          <reference field="4294967294" count="1" selected="0">
            <x v="6"/>
          </reference>
        </references>
      </pivotArea>
    </format>
    <format dxfId="76">
      <pivotArea field="7" grandRow="1" outline="0" collapsedLevelsAreSubtotals="1" axis="axisRow" fieldPosition="0">
        <references count="1">
          <reference field="4294967294" count="1" selected="0">
            <x v="10"/>
          </reference>
        </references>
      </pivotArea>
    </format>
    <format dxfId="75">
      <pivotArea field="7" grandRow="1" outline="0" collapsedLevelsAreSubtotals="1" axis="axisRow" fieldPosition="0">
        <references count="1">
          <reference field="4294967294" count="1" selected="0">
            <x v="11"/>
          </reference>
        </references>
      </pivotArea>
    </format>
    <format dxfId="74">
      <pivotArea field="7" type="button" dataOnly="0" labelOnly="1" outline="0" axis="axisRow" fieldPosition="0"/>
    </format>
    <format dxfId="73">
      <pivotArea dataOnly="0" labelOnly="1" outline="0" fieldPosition="0">
        <references count="1">
          <reference field="4294967294" count="16">
            <x v="0"/>
            <x v="1"/>
            <x v="2"/>
            <x v="3"/>
            <x v="4"/>
            <x v="5"/>
            <x v="6"/>
            <x v="7"/>
            <x v="8"/>
            <x v="9"/>
            <x v="10"/>
            <x v="11"/>
            <x v="12"/>
            <x v="13"/>
            <x v="14"/>
            <x v="15"/>
          </reference>
        </references>
      </pivotArea>
    </format>
    <format dxfId="72">
      <pivotArea grandRow="1" outline="0" collapsedLevelsAreSubtotals="1" fieldPosition="0"/>
    </format>
    <format dxfId="71">
      <pivotArea dataOnly="0" labelOnly="1" grandRow="1" outline="0" fieldPosition="0"/>
    </format>
    <format dxfId="70">
      <pivotArea field="7" type="button" dataOnly="0" labelOnly="1" outline="0" axis="axisRow" fieldPosition="0"/>
    </format>
    <format dxfId="69">
      <pivotArea dataOnly="0" labelOnly="1" outline="0" fieldPosition="0">
        <references count="1">
          <reference field="4294967294" count="16">
            <x v="0"/>
            <x v="1"/>
            <x v="2"/>
            <x v="3"/>
            <x v="4"/>
            <x v="5"/>
            <x v="6"/>
            <x v="7"/>
            <x v="8"/>
            <x v="9"/>
            <x v="10"/>
            <x v="11"/>
            <x v="12"/>
            <x v="13"/>
            <x v="14"/>
            <x v="15"/>
          </reference>
        </references>
      </pivotArea>
    </format>
    <format dxfId="68">
      <pivotArea field="7" type="button" dataOnly="0" labelOnly="1" outline="0" axis="axisRow" fieldPosition="0"/>
    </format>
    <format dxfId="67">
      <pivotArea dataOnly="0" labelOnly="1" outline="0" fieldPosition="0">
        <references count="1">
          <reference field="4294967294" count="16">
            <x v="0"/>
            <x v="1"/>
            <x v="2"/>
            <x v="3"/>
            <x v="4"/>
            <x v="5"/>
            <x v="6"/>
            <x v="7"/>
            <x v="8"/>
            <x v="9"/>
            <x v="10"/>
            <x v="11"/>
            <x v="12"/>
            <x v="13"/>
            <x v="14"/>
            <x v="15"/>
          </reference>
        </references>
      </pivotArea>
    </format>
    <format dxfId="66">
      <pivotArea dataOnly="0" labelOnly="1" fieldPosition="0">
        <references count="1">
          <reference field="7" count="0"/>
        </references>
      </pivotArea>
    </format>
    <format dxfId="65">
      <pivotArea collapsedLevelsAreSubtotals="1" fieldPosition="0">
        <references count="2">
          <reference field="4294967294" count="1" selected="0">
            <x v="3"/>
          </reference>
          <reference field="7" count="0"/>
        </references>
      </pivotArea>
    </format>
    <format dxfId="64">
      <pivotArea collapsedLevelsAreSubtotals="1" fieldPosition="0">
        <references count="2">
          <reference field="4294967294" count="4" selected="0">
            <x v="4"/>
            <x v="5"/>
            <x v="6"/>
            <x v="7"/>
          </reference>
          <reference field="7" count="0"/>
        </references>
      </pivotArea>
    </format>
    <format dxfId="63">
      <pivotArea collapsedLevelsAreSubtotals="1" fieldPosition="0">
        <references count="2">
          <reference field="4294967294" count="4" selected="0">
            <x v="8"/>
            <x v="9"/>
            <x v="10"/>
            <x v="11"/>
          </reference>
          <reference field="7" count="0"/>
        </references>
      </pivotArea>
    </format>
    <format dxfId="62">
      <pivotArea dataOnly="0" labelOnly="1" fieldPosition="0">
        <references count="1">
          <reference field="7" count="0"/>
        </references>
      </pivotArea>
    </format>
    <format dxfId="61">
      <pivotArea collapsedLevelsAreSubtotals="1" fieldPosition="0">
        <references count="2">
          <reference field="4294967294" count="2" selected="0">
            <x v="4"/>
            <x v="5"/>
          </reference>
          <reference field="7" count="2">
            <x v="5"/>
            <x v="6"/>
          </reference>
        </references>
      </pivotArea>
    </format>
    <format dxfId="60">
      <pivotArea collapsedLevelsAreSubtotals="1" fieldPosition="0">
        <references count="2">
          <reference field="4294967294" count="2" selected="0">
            <x v="8"/>
            <x v="9"/>
          </reference>
          <reference field="7" count="2">
            <x v="5"/>
            <x v="6"/>
          </reference>
        </references>
      </pivotArea>
    </format>
    <format dxfId="59">
      <pivotArea outline="0" collapsedLevelsAreSubtotals="1" fieldPosition="0">
        <references count="1">
          <reference field="4294967294" count="2" selected="0">
            <x v="14"/>
            <x v="15"/>
          </reference>
        </references>
      </pivotArea>
    </format>
  </formats>
  <pivotTableStyleInfo name="PivotStyleLight7" showRowHeaders="1" showColHeaders="1" showRowStripes="1" showColStripes="0" showLastColumn="1"/>
  <filters count="1">
    <filter fld="8" type="valueGreaterThanOrEqual" evalOrder="-1" id="3" iMeasureFld="0">
      <autoFilter ref="A1">
        <filterColumn colId="0">
          <customFilters>
            <customFilter operator="greaterThanOrEqual" val="1"/>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1" cacheId="3" applyNumberFormats="0" applyBorderFormats="0" applyFontFormats="0" applyPatternFormats="0" applyAlignmentFormats="0" applyWidthHeightFormats="1" dataCaption="Values" updatedVersion="8" minRefreshableVersion="3" useAutoFormatting="1" itemPrintTitles="1" createdVersion="6" indent="0" compact="0" compactData="0" gridDropZones="1" multipleFieldFilters="0" rowHeaderCaption="Month">
  <location ref="B5:D10" firstHeaderRow="2" firstDataRow="2" firstDataCol="2"/>
  <pivotFields count="10">
    <pivotField compact="0" outline="0" showAll="0" defaultSubtotal="0"/>
    <pivotField axis="axisRow" compact="0" outline="0" showAll="0" defaultSubtotal="0">
      <items count="34">
        <item m="1" x="24"/>
        <item x="4"/>
        <item x="5"/>
        <item x="6"/>
        <item x="7"/>
        <item x="8"/>
        <item x="9"/>
        <item x="10"/>
        <item x="11"/>
        <item x="12"/>
        <item x="13"/>
        <item x="14"/>
        <item x="15"/>
        <item x="16"/>
        <item x="17"/>
        <item x="18"/>
        <item x="19"/>
        <item m="1" x="29"/>
        <item m="1" x="30"/>
        <item m="1" x="31"/>
        <item m="1" x="32"/>
        <item m="1" x="26"/>
        <item x="20"/>
        <item x="21"/>
        <item x="22"/>
        <item x="23"/>
        <item m="1" x="28"/>
        <item m="1" x="33"/>
        <item x="0"/>
        <item x="1"/>
        <item x="2"/>
        <item x="3"/>
        <item m="1" x="25"/>
        <item m="1" x="27"/>
      </items>
    </pivotField>
    <pivotField axis="axisRow" compact="0" outline="0" showAll="0" measureFilter="1" defaultSubtotal="0">
      <items count="18">
        <item x="10"/>
        <item x="11"/>
        <item x="0"/>
        <item x="1"/>
        <item x="2"/>
        <item x="3"/>
        <item x="4"/>
        <item x="5"/>
        <item x="6"/>
        <item x="7"/>
        <item m="1" x="16"/>
        <item m="1" x="17"/>
        <item x="13"/>
        <item x="14"/>
        <item x="15"/>
        <item x="8"/>
        <item x="9"/>
        <item x="12"/>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s>
  <rowFields count="2">
    <field x="1"/>
    <field x="2"/>
  </rowFields>
  <rowItems count="4">
    <i>
      <x v="28"/>
      <x v="2"/>
    </i>
    <i>
      <x v="29"/>
      <x v="3"/>
    </i>
    <i>
      <x v="30"/>
      <x v="4"/>
    </i>
    <i t="grand">
      <x/>
    </i>
  </rowItems>
  <colItems count="1">
    <i/>
  </colItems>
  <dataFields count="1">
    <dataField name="Cost Per Month" fld="9" baseField="2" baseItem="0" numFmtId="164"/>
  </dataFields>
  <formats count="44">
    <format dxfId="58">
      <pivotArea type="origin" dataOnly="0" labelOnly="1" outline="0" fieldPosition="0"/>
    </format>
    <format dxfId="57">
      <pivotArea field="2" type="button" dataOnly="0" labelOnly="1" outline="0" axis="axisRow" fieldPosition="1"/>
    </format>
    <format dxfId="56">
      <pivotArea type="topRight" dataOnly="0" labelOnly="1" outline="0" fieldPosition="0"/>
    </format>
    <format dxfId="55">
      <pivotArea grandRow="1" outline="0" collapsedLevelsAreSubtotals="1" fieldPosition="0"/>
    </format>
    <format dxfId="54">
      <pivotArea dataOnly="0" labelOnly="1" grandRow="1" outline="0" fieldPosition="0"/>
    </format>
    <format dxfId="53">
      <pivotArea grandRow="1" outline="0" collapsedLevelsAreSubtotals="1" fieldPosition="0"/>
    </format>
    <format dxfId="52">
      <pivotArea dataOnly="0" labelOnly="1" grandRow="1" outline="0" fieldPosition="0"/>
    </format>
    <format dxfId="51">
      <pivotArea type="all" dataOnly="0" outline="0" fieldPosition="0"/>
    </format>
    <format dxfId="50">
      <pivotArea type="origin" dataOnly="0" labelOnly="1" outline="0" offset="B1" fieldPosition="0"/>
    </format>
    <format dxfId="49">
      <pivotArea type="topRight" dataOnly="0" labelOnly="1" outline="0" fieldPosition="0"/>
    </format>
    <format dxfId="48">
      <pivotArea field="2" type="button" dataOnly="0" labelOnly="1" outline="0" axis="axisRow" fieldPosition="1"/>
    </format>
    <format dxfId="47">
      <pivotArea type="topRight" dataOnly="0" labelOnly="1" outline="0" fieldPosition="0"/>
    </format>
    <format dxfId="46">
      <pivotArea dataOnly="0" grandRow="1" outline="0" fieldPosition="0"/>
    </format>
    <format dxfId="45">
      <pivotArea field="2" type="button" dataOnly="0" labelOnly="1" outline="0" axis="axisRow" fieldPosition="1"/>
    </format>
    <format dxfId="44">
      <pivotArea dataOnly="0" labelOnly="1" grandRow="1" outline="0" fieldPosition="0"/>
    </format>
    <format dxfId="43">
      <pivotArea grandRow="1" outline="0" collapsedLevelsAreSubtotals="1" fieldPosition="0"/>
    </format>
    <format dxfId="42">
      <pivotArea grandRow="1" outline="0" collapsedLevelsAreSubtotals="1" fieldPosition="0"/>
    </format>
    <format dxfId="41">
      <pivotArea dataOnly="0" labelOnly="1" grandRow="1" outline="0" fieldPosition="0"/>
    </format>
    <format dxfId="40">
      <pivotArea grandRow="1" outline="0" collapsedLevelsAreSubtotals="1" fieldPosition="0"/>
    </format>
    <format dxfId="39">
      <pivotArea dataOnly="0" labelOnly="1" grandRow="1" outline="0" fieldPosition="0"/>
    </format>
    <format dxfId="38">
      <pivotArea outline="0" collapsedLevelsAreSubtotals="1" fieldPosition="0"/>
    </format>
    <format dxfId="37">
      <pivotArea type="origin" dataOnly="0" labelOnly="1" outline="0" offset="B1" fieldPosition="0"/>
    </format>
    <format dxfId="36">
      <pivotArea type="topRight" dataOnly="0" labelOnly="1" outline="0" fieldPosition="0"/>
    </format>
    <format dxfId="35">
      <pivotArea field="2" type="button" dataOnly="0" labelOnly="1" outline="0" axis="axisRow" fieldPosition="1"/>
    </format>
    <format dxfId="34">
      <pivotArea dataOnly="0" labelOnly="1" grandRow="1" outline="0" offset="IV256" fieldPosition="0"/>
    </format>
    <format dxfId="33">
      <pivotArea dataOnly="0" labelOnly="1" outline="0" fieldPosition="0">
        <references count="2">
          <reference field="1" count="1" selected="0">
            <x v="1"/>
          </reference>
          <reference field="2" count="1">
            <x v="6"/>
          </reference>
        </references>
      </pivotArea>
    </format>
    <format dxfId="32">
      <pivotArea dataOnly="0" labelOnly="1" outline="0" fieldPosition="0">
        <references count="2">
          <reference field="1" count="1" selected="0">
            <x v="2"/>
          </reference>
          <reference field="2" count="1">
            <x v="7"/>
          </reference>
        </references>
      </pivotArea>
    </format>
    <format dxfId="31">
      <pivotArea dataOnly="0" labelOnly="1" outline="0" fieldPosition="0">
        <references count="2">
          <reference field="1" count="1" selected="0">
            <x v="3"/>
          </reference>
          <reference field="2" count="1">
            <x v="8"/>
          </reference>
        </references>
      </pivotArea>
    </format>
    <format dxfId="30">
      <pivotArea dataOnly="0" labelOnly="1" outline="0" fieldPosition="0">
        <references count="2">
          <reference field="1" count="1" selected="0">
            <x v="4"/>
          </reference>
          <reference field="2" count="1">
            <x v="9"/>
          </reference>
        </references>
      </pivotArea>
    </format>
    <format dxfId="29">
      <pivotArea dataOnly="0" labelOnly="1" outline="0" fieldPosition="0">
        <references count="2">
          <reference field="1" count="1" selected="0">
            <x v="5"/>
          </reference>
          <reference field="2" count="1">
            <x v="15"/>
          </reference>
        </references>
      </pivotArea>
    </format>
    <format dxfId="28">
      <pivotArea dataOnly="0" labelOnly="1" outline="0" fieldPosition="0">
        <references count="2">
          <reference field="1" count="1" selected="0">
            <x v="6"/>
          </reference>
          <reference field="2" count="1">
            <x v="16"/>
          </reference>
        </references>
      </pivotArea>
    </format>
    <format dxfId="27">
      <pivotArea dataOnly="0" labelOnly="1" outline="0" fieldPosition="0">
        <references count="2">
          <reference field="1" count="1" selected="0">
            <x v="7"/>
          </reference>
          <reference field="2" count="1">
            <x v="0"/>
          </reference>
        </references>
      </pivotArea>
    </format>
    <format dxfId="26">
      <pivotArea dataOnly="0" labelOnly="1" outline="0" fieldPosition="0">
        <references count="2">
          <reference field="1" count="1" selected="0">
            <x v="21"/>
          </reference>
          <reference field="2" count="1">
            <x v="17"/>
          </reference>
        </references>
      </pivotArea>
    </format>
    <format dxfId="25">
      <pivotArea type="topRight" dataOnly="0" labelOnly="1" outline="0" fieldPosition="0"/>
    </format>
    <format dxfId="24">
      <pivotArea field="2" type="button" dataOnly="0" labelOnly="1" outline="0" axis="axisRow" fieldPosition="1"/>
    </format>
    <format dxfId="23">
      <pivotArea field="2" type="button" dataOnly="0" labelOnly="1" outline="0" axis="axisRow" fieldPosition="1"/>
    </format>
    <format dxfId="22">
      <pivotArea field="2" type="button" dataOnly="0" labelOnly="1" outline="0" axis="axisRow" fieldPosition="1"/>
    </format>
    <format dxfId="21">
      <pivotArea field="2" type="button" dataOnly="0" labelOnly="1" outline="0" axis="axisRow" fieldPosition="1"/>
    </format>
    <format dxfId="20">
      <pivotArea field="2" type="button" dataOnly="0" labelOnly="1" outline="0" axis="axisRow" fieldPosition="1"/>
    </format>
    <format dxfId="19">
      <pivotArea field="2" type="button" dataOnly="0" labelOnly="1" outline="0" axis="axisRow" fieldPosition="1"/>
    </format>
    <format dxfId="18">
      <pivotArea field="2" type="button" dataOnly="0" labelOnly="1" outline="0" axis="axisRow" fieldPosition="1"/>
    </format>
    <format dxfId="17">
      <pivotArea field="2" type="button" dataOnly="0" labelOnly="1" outline="0" axis="axisRow" fieldPosition="1"/>
    </format>
    <format dxfId="16">
      <pivotArea grandRow="1" outline="0" collapsedLevelsAreSubtotals="1" fieldPosition="0"/>
    </format>
    <format dxfId="15">
      <pivotArea dataOnly="0" labelOnly="1" grandRow="1" outline="0" offset="IV256" fieldPosition="0"/>
    </format>
  </formats>
  <pivotTableStyleInfo name="PivotStyleDark6" showRowHeaders="1" showColHeaders="1" showRowStripes="1" showColStripes="0" showLastColumn="1"/>
  <filters count="1">
    <filter fld="2" type="valueGreaterThan" evalOrder="-1" id="1" iMeasureFld="0">
      <autoFilter ref="A1">
        <filterColumn colId="0">
          <customFilters>
            <customFilter operator="greaterThan" val="0"/>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Z34" totalsRowCount="1" headerRowDxfId="206" totalsRowDxfId="204" tableBorderDxfId="205">
  <autoFilter ref="B2:Z33" xr:uid="{00000000-0009-0000-0100-000001000000}"/>
  <tableColumns count="25">
    <tableColumn id="1" xr3:uid="{00000000-0010-0000-0000-000001000000}" name="Project Estimates" totalsRowLabel="Projected Estimate" totalsRowDxfId="203"/>
    <tableColumn id="2" xr3:uid="{00000000-0010-0000-0000-000002000000}" name="Rate" dataDxfId="202" totalsRowDxfId="201"/>
    <tableColumn id="3" xr3:uid="{00000000-0010-0000-0000-000003000000}" name="Lo Hrs." totalsRowFunction="custom" dataDxfId="200" totalsRowDxfId="199">
      <totalsRowFormula>SUM(D3:D33)</totalsRowFormula>
    </tableColumn>
    <tableColumn id="4" xr3:uid="{00000000-0010-0000-0000-000004000000}" name="Hi Hrs." totalsRowFunction="custom" dataDxfId="198" totalsRowDxfId="197">
      <calculatedColumnFormula>IFERROR(INT(ROUNDUP(Table1[[#This Row],[Lo Hrs.]]*(1+VLOOKUP(Table1[[#This Row],[Rate]],'Configuration Table'!A:C,3,FALSE)),0)),0)</calculatedColumnFormula>
      <totalsRowFormula>SUM(E3:E33)</totalsRowFormula>
    </tableColumn>
    <tableColumn id="5" xr3:uid="{00000000-0010-0000-0000-000005000000}" name="Lo Cost Est" totalsRowFunction="custom" dataDxfId="196" totalsRowDxfId="195" dataCellStyle="Currency">
      <calculatedColumnFormula>IFERROR(Table1[[#This Row],[Lo Hrs.]]*VLOOKUP(Table1[[#This Row],[Rate]],'Configuration Table'!A:B,2,FALSE),0)</calculatedColumnFormula>
      <totalsRowFormula>SUM(F3:F33)</totalsRowFormula>
    </tableColumn>
    <tableColumn id="6" xr3:uid="{00000000-0010-0000-0000-000006000000}" name="Hi Cost Est" totalsRowFunction="custom" dataDxfId="194" totalsRowDxfId="193" dataCellStyle="Currency">
      <calculatedColumnFormula>IFERROR(Table1[[#This Row],[Hi Hrs.]]*VLOOKUP(Table1[[#This Row],[Rate]],'Configuration Table'!A:B,2,FALSE),0)</calculatedColumnFormula>
      <totalsRowFormula>SUM(G3:G33)</totalsRowFormula>
    </tableColumn>
    <tableColumn id="7" xr3:uid="{00000000-0010-0000-0000-000007000000}" name="Formatting" dataDxfId="192" totalsRowDxfId="191">
      <calculatedColumnFormula>IFERROR(VLOOKUP(Table1[[#This Row],[Rate]],'Configuration Table'!A:G,7,FALSE),"")</calculatedColumnFormula>
    </tableColumn>
    <tableColumn id="25" xr3:uid="{00000000-0010-0000-0000-000019000000}" name="Short Rate Name" dataDxfId="190" totalsRowDxfId="189">
      <calculatedColumnFormula>IFERROR(VLOOKUP(Table1[[#This Row],[Rate]],'Configuration Table'!A:G,5,FALSE),"")</calculatedColumnFormula>
    </tableColumn>
    <tableColumn id="8" xr3:uid="{00000000-0010-0000-0000-000008000000}" name="Long Rate Name" dataDxfId="188" totalsRowDxfId="187">
      <calculatedColumnFormula>IFERROR(VLOOKUP(Table1[[#This Row],[Rate]],'Configuration Table'!A:G,6,FALSE),"")</calculatedColumnFormula>
    </tableColumn>
    <tableColumn id="11" xr3:uid="{00000000-0010-0000-0000-00000B000000}" name="P1%" dataDxfId="186" totalsRowDxfId="185" dataCellStyle="Percent"/>
    <tableColumn id="12" xr3:uid="{00000000-0010-0000-0000-00000C000000}" name="P2%" dataDxfId="184" totalsRowDxfId="183" dataCellStyle="Percent"/>
    <tableColumn id="10" xr3:uid="{00000000-0010-0000-0000-00000A000000}" name="P3%" dataDxfId="182" totalsRowDxfId="181" dataCellStyle="Percent"/>
    <tableColumn id="13" xr3:uid="{00000000-0010-0000-0000-00000D000000}" name="P1LOW" dataDxfId="180" totalsRowDxfId="179">
      <calculatedColumnFormula>Table1[[#This Row],[Lo Hrs.]]*Table1[[#This Row],[P1%]]</calculatedColumnFormula>
    </tableColumn>
    <tableColumn id="14" xr3:uid="{00000000-0010-0000-0000-00000E000000}" name="P1HI" dataDxfId="178" totalsRowDxfId="177">
      <calculatedColumnFormula>Table1[[#This Row],[Hi Hrs.]]*Table1[[#This Row],[P1%]]</calculatedColumnFormula>
    </tableColumn>
    <tableColumn id="15" xr3:uid="{00000000-0010-0000-0000-00000F000000}" name="P1COSTLO" dataDxfId="176" totalsRowDxfId="175" dataCellStyle="Currency">
      <calculatedColumnFormula>Table1[[#This Row],[Lo Cost Est]]*Table1[[#This Row],[P1%]]</calculatedColumnFormula>
    </tableColumn>
    <tableColumn id="16" xr3:uid="{00000000-0010-0000-0000-000010000000}" name="P1COSTHI" dataDxfId="174" totalsRowDxfId="173" dataCellStyle="Currency">
      <calculatedColumnFormula>Table1[[#This Row],[Hi Cost Est]]*Table1[[#This Row],[P1%]]</calculatedColumnFormula>
    </tableColumn>
    <tableColumn id="17" xr3:uid="{00000000-0010-0000-0000-000011000000}" name="P2LOW" dataDxfId="172" totalsRowDxfId="171">
      <calculatedColumnFormula>Table1[[#This Row],[Lo Hrs.]]*Table1[[#This Row],[P2%]]</calculatedColumnFormula>
    </tableColumn>
    <tableColumn id="21" xr3:uid="{00000000-0010-0000-0000-000015000000}" name="P2HI" dataDxfId="170" totalsRowDxfId="169">
      <calculatedColumnFormula>Table1[[#This Row],[Hi Hrs.]]*Table1[[#This Row],[P2%]]</calculatedColumnFormula>
    </tableColumn>
    <tableColumn id="20" xr3:uid="{00000000-0010-0000-0000-000014000000}" name="P2COSTLO" dataDxfId="168" totalsRowDxfId="167" dataCellStyle="Currency">
      <calculatedColumnFormula>Table1[[#This Row],[Lo Cost Est]]*Table1[[#This Row],[P2%]]</calculatedColumnFormula>
    </tableColumn>
    <tableColumn id="19" xr3:uid="{00000000-0010-0000-0000-000013000000}" name="P2COSTHI" dataDxfId="166" totalsRowDxfId="165" dataCellStyle="Currency">
      <calculatedColumnFormula>Table1[[#This Row],[Hi Cost Est]]*Table1[[#This Row],[P2%]]</calculatedColumnFormula>
    </tableColumn>
    <tableColumn id="24" xr3:uid="{00000000-0010-0000-0000-000018000000}" name="P3LOW" dataDxfId="164" totalsRowDxfId="163">
      <calculatedColumnFormula>Table1[[#This Row],[Lo Hrs.]]*Table1[[#This Row],[P3%]]</calculatedColumnFormula>
    </tableColumn>
    <tableColumn id="23" xr3:uid="{00000000-0010-0000-0000-000017000000}" name="P3HI" dataDxfId="162" totalsRowDxfId="161">
      <calculatedColumnFormula>Table1[[#This Row],[Hi Hrs.]]*Table1[[#This Row],[P3%]]</calculatedColumnFormula>
    </tableColumn>
    <tableColumn id="22" xr3:uid="{00000000-0010-0000-0000-000016000000}" name="P3COSTLO" dataDxfId="160" totalsRowDxfId="159" dataCellStyle="Currency">
      <calculatedColumnFormula>Table1[[#This Row],[Lo Cost Est]]*Table1[[#This Row],[P3%]]</calculatedColumnFormula>
    </tableColumn>
    <tableColumn id="18" xr3:uid="{00000000-0010-0000-0000-000012000000}" name="P3COSTHI" dataDxfId="158" totalsRowDxfId="157" dataCellStyle="Currency">
      <calculatedColumnFormula>Table1[[#This Row],[Hi Cost Est]]*Table1[[#This Row],[P3%]]</calculatedColumnFormula>
    </tableColumn>
    <tableColumn id="9" xr3:uid="{00000000-0010-0000-0000-000009000000}" name="Description" dataDxfId="156" totalsRowDxfId="155"/>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H2:Q86" totalsRowShown="0" headerRowDxfId="14">
  <autoFilter ref="H2:Q86" xr:uid="{00000000-0009-0000-0100-000002000000}"/>
  <tableColumns count="10">
    <tableColumn id="1" xr3:uid="{00000000-0010-0000-0100-000001000000}" name="Week"/>
    <tableColumn id="2" xr3:uid="{00000000-0010-0000-0100-000002000000}" name="Month"/>
    <tableColumn id="10" xr3:uid="{00000000-0010-0000-0100-00000A000000}" name="Month Name" dataDxfId="13">
      <calculatedColumnFormula>VLOOKUP(Table2[[#This Row],[Month]],MonthLookup!A:B,2,FALSE)</calculatedColumnFormula>
    </tableColumn>
    <tableColumn id="3" xr3:uid="{00000000-0010-0000-0100-000003000000}" name="Ignore1">
      <calculatedColumnFormula>IF(NOT(K2=0),K2-1,0)</calculatedColumnFormula>
    </tableColumn>
    <tableColumn id="4" xr3:uid="{00000000-0010-0000-0100-000004000000}" name="Ignore2">
      <calculatedColumnFormula>IF(K3=0,L2-1,$L$1)</calculatedColumnFormula>
    </tableColumn>
    <tableColumn id="5" xr3:uid="{00000000-0010-0000-0100-000005000000}" name="Ignore3">
      <calculatedColumnFormula>IF(L3&lt;=0,M2-1,$M$1)</calculatedColumnFormula>
    </tableColumn>
    <tableColumn id="6" xr3:uid="{00000000-0010-0000-0100-000006000000}" name="P1Cost" dataCellStyle="Currency">
      <calculatedColumnFormula>IF(K3&gt;0,$E$3,0)</calculatedColumnFormula>
    </tableColumn>
    <tableColumn id="7" xr3:uid="{00000000-0010-0000-0100-000007000000}" name="P2Cost" dataCellStyle="Currency">
      <calculatedColumnFormula>IF(AND(L3&gt;0,NOT(L3=L2)),$E$4,0)</calculatedColumnFormula>
    </tableColumn>
    <tableColumn id="8" xr3:uid="{00000000-0010-0000-0100-000008000000}" name="P3Cost" dataCellStyle="Currency">
      <calculatedColumnFormula>IF(AND(M3&gt;0,NOT(M3=M2)),$E$5,0)</calculatedColumnFormula>
    </tableColumn>
    <tableColumn id="9" xr3:uid="{00000000-0010-0000-0100-000009000000}" name="Cost" dataCellStyle="Currency">
      <calculatedColumnFormula>SUM(N3:P3)</calculatedColumnFormula>
    </tableColumn>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B1:E5" totalsRowShown="0">
  <autoFilter ref="B1:E5" xr:uid="{00000000-0009-0000-0100-000003000000}"/>
  <tableColumns count="4">
    <tableColumn id="1" xr3:uid="{00000000-0010-0000-0200-000001000000}" name="Starting Month"/>
    <tableColumn id="2" xr3:uid="{00000000-0010-0000-0200-000002000000}" name="7" dataDxfId="12"/>
    <tableColumn id="3" xr3:uid="{00000000-0010-0000-0200-000003000000}" name="Column1"/>
    <tableColumn id="4" xr3:uid="{00000000-0010-0000-0200-000004000000}" name="Column2"/>
  </tableColumns>
  <tableStyleInfo name="TableStyleLight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B9:E16" totalsRowShown="0" headerRowDxfId="11">
  <autoFilter ref="B9:E16" xr:uid="{00000000-0009-0000-0100-000004000000}"/>
  <tableColumns count="4">
    <tableColumn id="1" xr3:uid="{00000000-0010-0000-0300-000001000000}" name="Column1"/>
    <tableColumn id="2" xr3:uid="{00000000-0010-0000-0300-000002000000}" name="Column2">
      <calculatedColumnFormula>$E$11*(C$11/B$11)</calculatedColumnFormula>
    </tableColumn>
    <tableColumn id="3" xr3:uid="{00000000-0010-0000-0300-000003000000}" name="Column3">
      <calculatedColumnFormula>IF(B10&gt;0,C10,0)</calculatedColumnFormula>
    </tableColumn>
    <tableColumn id="4" xr3:uid="{00000000-0010-0000-0300-000004000000}" name="Column4"/>
  </tableColumns>
  <tableStyleInfo name="TableStyleLight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2:G18" totalsRowShown="0" headerRowDxfId="10" dataDxfId="8" headerRowBorderDxfId="9" tableBorderDxfId="7">
  <autoFilter ref="A2:G18" xr:uid="{00000000-0009-0000-0100-000005000000}"/>
  <tableColumns count="7">
    <tableColumn id="1" xr3:uid="{00000000-0010-0000-0400-000001000000}" name="Code" dataDxfId="6"/>
    <tableColumn id="2" xr3:uid="{00000000-0010-0000-0400-000002000000}" name="Preferred Rate" dataDxfId="5" dataCellStyle="Currency"/>
    <tableColumn id="3" xr3:uid="{00000000-0010-0000-0400-000003000000}" name="Lo-Hi Range" dataDxfId="4" dataCellStyle="Percent"/>
    <tableColumn id="4" xr3:uid="{00000000-0010-0000-0400-000004000000}" name="% Of Dev" dataDxfId="3"/>
    <tableColumn id="7" xr3:uid="{00000000-0010-0000-0400-000007000000}" name="Short Name" dataDxfId="2"/>
    <tableColumn id="5" xr3:uid="{00000000-0010-0000-0400-000005000000}" name="Type of Product / Service" dataDxfId="1"/>
    <tableColumn id="6" xr3:uid="{00000000-0010-0000-0400-000006000000}" name="Color" dataDxfId="0"/>
  </tableColumns>
  <tableStyleInfo name="TableStyleLight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N51"/>
  <sheetViews>
    <sheetView tabSelected="1" zoomScale="85" zoomScaleNormal="85" zoomScalePageLayoutView="150" workbookViewId="0">
      <selection activeCell="G11" sqref="G11"/>
    </sheetView>
  </sheetViews>
  <sheetFormatPr defaultColWidth="8.85546875" defaultRowHeight="15" x14ac:dyDescent="0.25"/>
  <cols>
    <col min="2" max="2" width="60.42578125" customWidth="1"/>
    <col min="3" max="3" width="10.42578125" style="56" bestFit="1" customWidth="1"/>
    <col min="4" max="4" width="9.140625" style="4" bestFit="1" customWidth="1"/>
    <col min="5" max="5" width="8.42578125" style="4" customWidth="1"/>
    <col min="6" max="6" width="16.42578125" style="1" customWidth="1"/>
    <col min="7" max="7" width="21.85546875" style="1" customWidth="1"/>
    <col min="8" max="8" width="12.28515625" hidden="1" customWidth="1"/>
    <col min="9" max="9" width="17" hidden="1" customWidth="1"/>
    <col min="10" max="10" width="2.140625" hidden="1" customWidth="1"/>
    <col min="11" max="11" width="11.5703125" style="55" customWidth="1"/>
    <col min="12" max="12" width="7.140625" style="55" customWidth="1"/>
    <col min="13" max="13" width="7" style="55" customWidth="1"/>
    <col min="14" max="15" width="10" hidden="1" customWidth="1"/>
    <col min="16" max="16" width="13.7109375" style="1" hidden="1" customWidth="1"/>
    <col min="17" max="17" width="14.28515625" style="1" hidden="1" customWidth="1"/>
    <col min="18" max="19" width="10" hidden="1" customWidth="1"/>
    <col min="20" max="20" width="13.7109375" style="1" hidden="1" customWidth="1"/>
    <col min="21" max="21" width="13.28515625" style="1" hidden="1" customWidth="1"/>
    <col min="22" max="23" width="10" hidden="1" customWidth="1"/>
    <col min="24" max="24" width="10" style="1" hidden="1" customWidth="1"/>
    <col min="25" max="25" width="12.7109375" style="1" hidden="1" customWidth="1"/>
    <col min="26" max="26" width="97.7109375" customWidth="1"/>
    <col min="27" max="27" width="14.42578125" style="115" customWidth="1"/>
    <col min="28" max="32" width="9.140625" customWidth="1"/>
    <col min="33" max="34" width="8.85546875" customWidth="1"/>
    <col min="36" max="36" width="48.85546875" customWidth="1"/>
    <col min="37" max="37" width="7.85546875" bestFit="1" customWidth="1"/>
    <col min="38" max="38" width="6.140625" bestFit="1" customWidth="1"/>
    <col min="39" max="40" width="11.140625" style="1" customWidth="1"/>
  </cols>
  <sheetData>
    <row r="1" spans="2:40" s="29" customFormat="1" ht="20.25" thickTop="1" thickBot="1" x14ac:dyDescent="0.3">
      <c r="B1" s="188" t="s">
        <v>295</v>
      </c>
      <c r="C1" s="189"/>
      <c r="D1" s="189"/>
      <c r="E1" s="189"/>
      <c r="F1" s="189"/>
      <c r="G1" s="189"/>
      <c r="H1" s="32"/>
      <c r="I1" s="32"/>
      <c r="J1" s="32"/>
      <c r="K1" s="51"/>
      <c r="L1" s="51"/>
      <c r="M1" s="51"/>
      <c r="N1" s="32"/>
      <c r="O1" s="32"/>
      <c r="P1" s="33"/>
      <c r="Q1" s="33"/>
      <c r="R1" s="32"/>
      <c r="S1" s="32"/>
      <c r="T1" s="33"/>
      <c r="U1" s="33"/>
      <c r="V1" s="32"/>
      <c r="W1" s="32"/>
      <c r="X1" s="33"/>
      <c r="Y1" s="33"/>
      <c r="Z1" s="34"/>
      <c r="AA1" s="113"/>
      <c r="AM1" s="30"/>
      <c r="AN1" s="30"/>
    </row>
    <row r="2" spans="2:40" s="19" customFormat="1" ht="16.5" thickTop="1" thickBot="1" x14ac:dyDescent="0.3">
      <c r="B2" s="15" t="s">
        <v>0</v>
      </c>
      <c r="C2" s="47" t="s">
        <v>1</v>
      </c>
      <c r="D2" s="47" t="s">
        <v>2</v>
      </c>
      <c r="E2" s="47" t="s">
        <v>3</v>
      </c>
      <c r="F2" s="16" t="s">
        <v>4</v>
      </c>
      <c r="G2" s="16" t="s">
        <v>5</v>
      </c>
      <c r="H2" s="15" t="s">
        <v>6</v>
      </c>
      <c r="I2" s="15" t="s">
        <v>7</v>
      </c>
      <c r="J2" s="15" t="s">
        <v>8</v>
      </c>
      <c r="K2" s="52" t="s">
        <v>9</v>
      </c>
      <c r="L2" s="52" t="s">
        <v>10</v>
      </c>
      <c r="M2" s="52" t="s">
        <v>11</v>
      </c>
      <c r="N2" s="15" t="s">
        <v>12</v>
      </c>
      <c r="O2" s="15" t="s">
        <v>13</v>
      </c>
      <c r="P2" s="16" t="s">
        <v>14</v>
      </c>
      <c r="Q2" s="16" t="s">
        <v>15</v>
      </c>
      <c r="R2" s="15" t="s">
        <v>16</v>
      </c>
      <c r="S2" s="15" t="s">
        <v>17</v>
      </c>
      <c r="T2" s="16" t="s">
        <v>18</v>
      </c>
      <c r="U2" s="16" t="s">
        <v>19</v>
      </c>
      <c r="V2" s="15" t="s">
        <v>20</v>
      </c>
      <c r="W2" s="15" t="s">
        <v>21</v>
      </c>
      <c r="X2" s="16" t="s">
        <v>22</v>
      </c>
      <c r="Y2" s="16" t="s">
        <v>23</v>
      </c>
      <c r="Z2" s="15" t="s">
        <v>24</v>
      </c>
      <c r="AA2" s="114"/>
      <c r="AM2" s="31"/>
      <c r="AN2" s="31"/>
    </row>
    <row r="3" spans="2:40" ht="90" customHeight="1" x14ac:dyDescent="0.25">
      <c r="B3" s="97" t="s">
        <v>25</v>
      </c>
      <c r="C3" s="112" t="s">
        <v>26</v>
      </c>
      <c r="D3" s="129"/>
      <c r="E3" s="130"/>
      <c r="F3" s="151">
        <v>3500</v>
      </c>
      <c r="G3" s="151">
        <v>3500</v>
      </c>
      <c r="H3" s="99" t="str">
        <f>IFERROR(VLOOKUP(Table1[[#This Row],[Rate]],'Configuration Table'!A:G,7,FALSE),"")</f>
        <v>Red</v>
      </c>
      <c r="I3" s="99" t="str">
        <f>IFERROR(VLOOKUP(Table1[[#This Row],[Rate]],'Configuration Table'!A:G,5,FALSE),"")</f>
        <v>License</v>
      </c>
      <c r="J3" s="99" t="str">
        <f>IFERROR(VLOOKUP(Table1[[#This Row],[Rate]],'Configuration Table'!A:G,6,FALSE),"")</f>
        <v>Clarity eCommerce Software License (typically $20,000)</v>
      </c>
      <c r="K3" s="152"/>
      <c r="L3" s="152">
        <v>1</v>
      </c>
      <c r="M3" s="152"/>
      <c r="N3" s="99">
        <f>Table1[[#This Row],[Lo Hrs.]]*Table1[[#This Row],[P1%]]</f>
        <v>0</v>
      </c>
      <c r="O3" s="99">
        <f>Table1[[#This Row],[Hi Hrs.]]*Table1[[#This Row],[P1%]]</f>
        <v>0</v>
      </c>
      <c r="P3" s="153">
        <f>Table1[[#This Row],[Lo Cost Est]]*Table1[[#This Row],[P1%]]</f>
        <v>0</v>
      </c>
      <c r="Q3" s="153">
        <f>Table1[[#This Row],[Hi Cost Est]]*Table1[[#This Row],[P1%]]</f>
        <v>0</v>
      </c>
      <c r="R3" s="99">
        <f>Table1[[#This Row],[Lo Hrs.]]*Table1[[#This Row],[P2%]]</f>
        <v>0</v>
      </c>
      <c r="S3" s="99">
        <f>Table1[[#This Row],[Hi Hrs.]]*Table1[[#This Row],[P2%]]</f>
        <v>0</v>
      </c>
      <c r="T3" s="153">
        <f>Table1[[#This Row],[Lo Cost Est]]*Table1[[#This Row],[P2%]]</f>
        <v>3500</v>
      </c>
      <c r="U3" s="153">
        <f>Table1[[#This Row],[Hi Cost Est]]*Table1[[#This Row],[P2%]]</f>
        <v>3500</v>
      </c>
      <c r="V3" s="99">
        <f>Table1[[#This Row],[Lo Hrs.]]*Table1[[#This Row],[P3%]]</f>
        <v>0</v>
      </c>
      <c r="W3" s="99">
        <f>Table1[[#This Row],[Hi Hrs.]]*Table1[[#This Row],[P3%]]</f>
        <v>0</v>
      </c>
      <c r="X3" s="153">
        <f>Table1[[#This Row],[Lo Cost Est]]*Table1[[#This Row],[P3%]]</f>
        <v>0</v>
      </c>
      <c r="Y3" s="153">
        <f>Table1[[#This Row],[Hi Cost Est]]*Table1[[#This Row],[P3%]]</f>
        <v>0</v>
      </c>
      <c r="Z3" s="101" t="s">
        <v>27</v>
      </c>
      <c r="AA3" s="185" t="s">
        <v>28</v>
      </c>
    </row>
    <row r="4" spans="2:40" x14ac:dyDescent="0.25">
      <c r="B4" s="102" t="s">
        <v>29</v>
      </c>
      <c r="C4" s="56" t="s">
        <v>26</v>
      </c>
      <c r="D4" s="121"/>
      <c r="E4" s="122"/>
      <c r="F4" s="3">
        <f>IFERROR(Table1[[#This Row],[Lo Hrs.]]*VLOOKUP(Table1[[#This Row],[Rate]],'Configuration Table'!A:B,2,FALSE),0)</f>
        <v>0</v>
      </c>
      <c r="G4" s="3">
        <f>IFERROR(Table1[[#This Row],[Hi Hrs.]]*VLOOKUP(Table1[[#This Row],[Rate]],'Configuration Table'!A:B,2,FALSE),0)</f>
        <v>0</v>
      </c>
      <c r="H4" t="str">
        <f>IFERROR(VLOOKUP(Table1[[#This Row],[Rate]],'Configuration Table'!A:G,7,FALSE),"")</f>
        <v>Red</v>
      </c>
      <c r="I4" t="str">
        <f>IFERROR(VLOOKUP(Table1[[#This Row],[Rate]],'Configuration Table'!A:G,5,FALSE),"")</f>
        <v>License</v>
      </c>
      <c r="J4" t="str">
        <f>IFERROR(VLOOKUP(Table1[[#This Row],[Rate]],'Configuration Table'!A:G,6,FALSE),"")</f>
        <v>Clarity eCommerce Software License (typically $20,000)</v>
      </c>
      <c r="K4" s="53"/>
      <c r="L4" s="53">
        <v>1</v>
      </c>
      <c r="M4" s="53"/>
      <c r="N4">
        <f>Table1[[#This Row],[Lo Hrs.]]*Table1[[#This Row],[P1%]]</f>
        <v>0</v>
      </c>
      <c r="O4">
        <f>Table1[[#This Row],[Hi Hrs.]]*Table1[[#This Row],[P1%]]</f>
        <v>0</v>
      </c>
      <c r="P4" s="3">
        <f>Table1[[#This Row],[Lo Cost Est]]*Table1[[#This Row],[P1%]]</f>
        <v>0</v>
      </c>
      <c r="Q4" s="3">
        <f>Table1[[#This Row],[Hi Cost Est]]*Table1[[#This Row],[P1%]]</f>
        <v>0</v>
      </c>
      <c r="R4">
        <f>Table1[[#This Row],[Lo Hrs.]]*Table1[[#This Row],[P2%]]</f>
        <v>0</v>
      </c>
      <c r="S4">
        <f>Table1[[#This Row],[Hi Hrs.]]*Table1[[#This Row],[P2%]]</f>
        <v>0</v>
      </c>
      <c r="T4" s="3">
        <f>Table1[[#This Row],[Lo Cost Est]]*Table1[[#This Row],[P2%]]</f>
        <v>0</v>
      </c>
      <c r="U4" s="3">
        <f>Table1[[#This Row],[Hi Cost Est]]*Table1[[#This Row],[P2%]]</f>
        <v>0</v>
      </c>
      <c r="V4">
        <f>Table1[[#This Row],[Lo Hrs.]]*Table1[[#This Row],[P3%]]</f>
        <v>0</v>
      </c>
      <c r="W4">
        <f>Table1[[#This Row],[Hi Hrs.]]*Table1[[#This Row],[P3%]]</f>
        <v>0</v>
      </c>
      <c r="X4" s="3">
        <f>Table1[[#This Row],[Lo Cost Est]]*Table1[[#This Row],[P3%]]</f>
        <v>0</v>
      </c>
      <c r="Y4" s="3">
        <f>Table1[[#This Row],[Hi Cost Est]]*Table1[[#This Row],[P3%]]</f>
        <v>0</v>
      </c>
      <c r="Z4" s="103"/>
      <c r="AA4" s="186"/>
    </row>
    <row r="5" spans="2:40" x14ac:dyDescent="0.25">
      <c r="B5" s="102" t="s">
        <v>30</v>
      </c>
      <c r="C5" s="56" t="s">
        <v>26</v>
      </c>
      <c r="D5" s="121"/>
      <c r="E5" s="122"/>
      <c r="F5" s="3">
        <f>IFERROR(Table1[[#This Row],[Lo Hrs.]]*VLOOKUP(Table1[[#This Row],[Rate]],'Configuration Table'!A:B,2,FALSE),0)</f>
        <v>0</v>
      </c>
      <c r="G5" s="3">
        <f>IFERROR(Table1[[#This Row],[Hi Hrs.]]*VLOOKUP(Table1[[#This Row],[Rate]],'Configuration Table'!A:B,2,FALSE),0)</f>
        <v>0</v>
      </c>
      <c r="H5" t="str">
        <f>IFERROR(VLOOKUP(Table1[[#This Row],[Rate]],'Configuration Table'!A:G,7,FALSE),"")</f>
        <v>Red</v>
      </c>
      <c r="I5" t="str">
        <f>IFERROR(VLOOKUP(Table1[[#This Row],[Rate]],'Configuration Table'!A:G,5,FALSE),"")</f>
        <v>License</v>
      </c>
      <c r="J5" t="str">
        <f>IFERROR(VLOOKUP(Table1[[#This Row],[Rate]],'Configuration Table'!A:G,6,FALSE),"")</f>
        <v>Clarity eCommerce Software License (typically $20,000)</v>
      </c>
      <c r="K5" s="53"/>
      <c r="L5" s="53">
        <v>1</v>
      </c>
      <c r="M5" s="53"/>
      <c r="N5">
        <f>Table1[[#This Row],[Lo Hrs.]]*Table1[[#This Row],[P1%]]</f>
        <v>0</v>
      </c>
      <c r="O5">
        <f>Table1[[#This Row],[Hi Hrs.]]*Table1[[#This Row],[P1%]]</f>
        <v>0</v>
      </c>
      <c r="P5" s="3">
        <f>Table1[[#This Row],[Lo Cost Est]]*Table1[[#This Row],[P1%]]</f>
        <v>0</v>
      </c>
      <c r="Q5" s="3">
        <f>Table1[[#This Row],[Hi Cost Est]]*Table1[[#This Row],[P1%]]</f>
        <v>0</v>
      </c>
      <c r="R5">
        <f>Table1[[#This Row],[Lo Hrs.]]*Table1[[#This Row],[P2%]]</f>
        <v>0</v>
      </c>
      <c r="S5">
        <f>Table1[[#This Row],[Hi Hrs.]]*Table1[[#This Row],[P2%]]</f>
        <v>0</v>
      </c>
      <c r="T5" s="3">
        <f>Table1[[#This Row],[Lo Cost Est]]*Table1[[#This Row],[P2%]]</f>
        <v>0</v>
      </c>
      <c r="U5" s="3">
        <f>Table1[[#This Row],[Hi Cost Est]]*Table1[[#This Row],[P2%]]</f>
        <v>0</v>
      </c>
      <c r="V5">
        <f>Table1[[#This Row],[Lo Hrs.]]*Table1[[#This Row],[P3%]]</f>
        <v>0</v>
      </c>
      <c r="W5">
        <f>Table1[[#This Row],[Hi Hrs.]]*Table1[[#This Row],[P3%]]</f>
        <v>0</v>
      </c>
      <c r="X5" s="3">
        <f>Table1[[#This Row],[Lo Cost Est]]*Table1[[#This Row],[P3%]]</f>
        <v>0</v>
      </c>
      <c r="Y5" s="3">
        <f>Table1[[#This Row],[Hi Cost Est]]*Table1[[#This Row],[P3%]]</f>
        <v>0</v>
      </c>
      <c r="Z5" s="103"/>
      <c r="AA5" s="186"/>
    </row>
    <row r="6" spans="2:40" x14ac:dyDescent="0.25">
      <c r="B6" s="102" t="s">
        <v>31</v>
      </c>
      <c r="C6" s="56" t="s">
        <v>26</v>
      </c>
      <c r="D6" s="121"/>
      <c r="E6" s="122"/>
      <c r="F6" s="132">
        <f>IFERROR(Table1[[#This Row],[Lo Hrs.]]*VLOOKUP(Table1[[#This Row],[Rate]],'Configuration Table'!A:B,2,FALSE),0)</f>
        <v>0</v>
      </c>
      <c r="G6" s="3">
        <f>IFERROR(Table1[[#This Row],[Hi Hrs.]]*VLOOKUP(Table1[[#This Row],[Rate]],'Configuration Table'!A:B,2,FALSE),0)</f>
        <v>0</v>
      </c>
      <c r="H6" t="str">
        <f>IFERROR(VLOOKUP(Table1[[#This Row],[Rate]],'Configuration Table'!A:G,7,FALSE),"")</f>
        <v>Red</v>
      </c>
      <c r="I6" t="str">
        <f>IFERROR(VLOOKUP(Table1[[#This Row],[Rate]],'Configuration Table'!A:G,5,FALSE),"")</f>
        <v>License</v>
      </c>
      <c r="J6" t="str">
        <f>IFERROR(VLOOKUP(Table1[[#This Row],[Rate]],'Configuration Table'!A:G,6,FALSE),"")</f>
        <v>Clarity eCommerce Software License (typically $20,000)</v>
      </c>
      <c r="K6" s="53"/>
      <c r="L6" s="53">
        <v>1</v>
      </c>
      <c r="M6" s="53"/>
      <c r="N6">
        <f>Table1[[#This Row],[Lo Hrs.]]*Table1[[#This Row],[P1%]]</f>
        <v>0</v>
      </c>
      <c r="O6">
        <f>Table1[[#This Row],[Hi Hrs.]]*Table1[[#This Row],[P1%]]</f>
        <v>0</v>
      </c>
      <c r="P6" s="3">
        <f>Table1[[#This Row],[Lo Cost Est]]*Table1[[#This Row],[P1%]]</f>
        <v>0</v>
      </c>
      <c r="Q6" s="3">
        <f>Table1[[#This Row],[Hi Cost Est]]*Table1[[#This Row],[P1%]]</f>
        <v>0</v>
      </c>
      <c r="R6">
        <f>Table1[[#This Row],[Lo Hrs.]]*Table1[[#This Row],[P2%]]</f>
        <v>0</v>
      </c>
      <c r="S6">
        <f>Table1[[#This Row],[Hi Hrs.]]*Table1[[#This Row],[P2%]]</f>
        <v>0</v>
      </c>
      <c r="T6" s="3">
        <f>Table1[[#This Row],[Lo Cost Est]]*Table1[[#This Row],[P2%]]</f>
        <v>0</v>
      </c>
      <c r="U6" s="3">
        <f>Table1[[#This Row],[Hi Cost Est]]*Table1[[#This Row],[P2%]]</f>
        <v>0</v>
      </c>
      <c r="V6">
        <f>Table1[[#This Row],[Lo Hrs.]]*Table1[[#This Row],[P3%]]</f>
        <v>0</v>
      </c>
      <c r="W6">
        <f>Table1[[#This Row],[Hi Hrs.]]*Table1[[#This Row],[P3%]]</f>
        <v>0</v>
      </c>
      <c r="X6" s="3">
        <f>Table1[[#This Row],[Lo Cost Est]]*Table1[[#This Row],[P3%]]</f>
        <v>0</v>
      </c>
      <c r="Y6" s="3">
        <f>Table1[[#This Row],[Hi Cost Est]]*Table1[[#This Row],[P3%]]</f>
        <v>0</v>
      </c>
      <c r="Z6" s="103"/>
      <c r="AA6" s="186"/>
    </row>
    <row r="7" spans="2:40" x14ac:dyDescent="0.25">
      <c r="B7" t="s">
        <v>32</v>
      </c>
      <c r="C7" s="56" t="s">
        <v>26</v>
      </c>
      <c r="D7" s="156"/>
      <c r="E7" s="156"/>
      <c r="F7" s="3">
        <f>IFERROR(Table1[[#This Row],[Lo Hrs.]]*VLOOKUP(Table1[[#This Row],[Rate]],'Configuration Table'!A:B,2,FALSE),0)</f>
        <v>0</v>
      </c>
      <c r="G7" s="3">
        <f>IFERROR(Table1[[#This Row],[Hi Hrs.]]*VLOOKUP(Table1[[#This Row],[Rate]],'Configuration Table'!A:B,2,FALSE),0)</f>
        <v>0</v>
      </c>
      <c r="H7" t="str">
        <f>IFERROR(VLOOKUP(Table1[[#This Row],[Rate]],'Configuration Table'!A:G,7,FALSE),"")</f>
        <v>Red</v>
      </c>
      <c r="I7" t="str">
        <f>IFERROR(VLOOKUP(Table1[[#This Row],[Rate]],'Configuration Table'!A:G,5,FALSE),"")</f>
        <v>License</v>
      </c>
      <c r="J7" t="str">
        <f>IFERROR(VLOOKUP(Table1[[#This Row],[Rate]],'Configuration Table'!A:G,6,FALSE),"")</f>
        <v>Clarity eCommerce Software License (typically $20,000)</v>
      </c>
      <c r="K7" s="53"/>
      <c r="L7" s="53">
        <v>1</v>
      </c>
      <c r="M7" s="53"/>
      <c r="N7">
        <f>Table1[[#This Row],[Lo Hrs.]]*Table1[[#This Row],[P1%]]</f>
        <v>0</v>
      </c>
      <c r="O7">
        <f>Table1[[#This Row],[Hi Hrs.]]*Table1[[#This Row],[P1%]]</f>
        <v>0</v>
      </c>
      <c r="P7" s="3">
        <f>Table1[[#This Row],[Lo Cost Est]]*Table1[[#This Row],[P1%]]</f>
        <v>0</v>
      </c>
      <c r="Q7" s="3">
        <f>Table1[[#This Row],[Hi Cost Est]]*Table1[[#This Row],[P1%]]</f>
        <v>0</v>
      </c>
      <c r="R7">
        <f>Table1[[#This Row],[Lo Hrs.]]*Table1[[#This Row],[P2%]]</f>
        <v>0</v>
      </c>
      <c r="S7">
        <f>Table1[[#This Row],[Hi Hrs.]]*Table1[[#This Row],[P2%]]</f>
        <v>0</v>
      </c>
      <c r="T7" s="3">
        <f>Table1[[#This Row],[Lo Cost Est]]*Table1[[#This Row],[P2%]]</f>
        <v>0</v>
      </c>
      <c r="U7" s="3">
        <f>Table1[[#This Row],[Hi Cost Est]]*Table1[[#This Row],[P2%]]</f>
        <v>0</v>
      </c>
      <c r="V7">
        <f>Table1[[#This Row],[Lo Hrs.]]*Table1[[#This Row],[P3%]]</f>
        <v>0</v>
      </c>
      <c r="W7">
        <f>Table1[[#This Row],[Hi Hrs.]]*Table1[[#This Row],[P3%]]</f>
        <v>0</v>
      </c>
      <c r="X7" s="3">
        <f>Table1[[#This Row],[Lo Cost Est]]*Table1[[#This Row],[P3%]]</f>
        <v>0</v>
      </c>
      <c r="Y7" s="3">
        <f>Table1[[#This Row],[Hi Cost Est]]*Table1[[#This Row],[P3%]]</f>
        <v>0</v>
      </c>
      <c r="Z7" s="157"/>
      <c r="AA7" s="190"/>
    </row>
    <row r="8" spans="2:40" ht="90" customHeight="1" x14ac:dyDescent="0.25">
      <c r="B8" s="158" t="s">
        <v>33</v>
      </c>
      <c r="C8" s="163" t="s">
        <v>34</v>
      </c>
      <c r="D8" s="159"/>
      <c r="E8" s="159"/>
      <c r="F8" s="160">
        <v>3500</v>
      </c>
      <c r="G8" s="160">
        <v>3500</v>
      </c>
      <c r="H8" s="158" t="str">
        <f>IFERROR(VLOOKUP(Table1[[#This Row],[Rate]],'Configuration Table'!A:G,7,FALSE),"")</f>
        <v>Red</v>
      </c>
      <c r="I8" s="158" t="str">
        <f>IFERROR(VLOOKUP(Table1[[#This Row],[Rate]],'Configuration Table'!A:G,5,FALSE),"")</f>
        <v>License</v>
      </c>
      <c r="J8" s="158" t="str">
        <f>IFERROR(VLOOKUP(Table1[[#This Row],[Rate]],'Configuration Table'!A:G,6,FALSE),"")</f>
        <v>Clarity Connect Software License (typically $17,000)</v>
      </c>
      <c r="K8" s="161"/>
      <c r="L8" s="161">
        <v>1</v>
      </c>
      <c r="M8" s="161"/>
      <c r="N8" s="158">
        <f>Table1[[#This Row],[Lo Hrs.]]*Table1[[#This Row],[P1%]]</f>
        <v>0</v>
      </c>
      <c r="O8" s="158">
        <f>Table1[[#This Row],[Hi Hrs.]]*Table1[[#This Row],[P1%]]</f>
        <v>0</v>
      </c>
      <c r="P8" s="160">
        <f>Table1[[#This Row],[Lo Cost Est]]*Table1[[#This Row],[P1%]]</f>
        <v>0</v>
      </c>
      <c r="Q8" s="160">
        <f>Table1[[#This Row],[Hi Cost Est]]*Table1[[#This Row],[P1%]]</f>
        <v>0</v>
      </c>
      <c r="R8" s="158">
        <f>Table1[[#This Row],[Lo Hrs.]]*Table1[[#This Row],[P2%]]</f>
        <v>0</v>
      </c>
      <c r="S8" s="158">
        <f>Table1[[#This Row],[Hi Hrs.]]*Table1[[#This Row],[P2%]]</f>
        <v>0</v>
      </c>
      <c r="T8" s="160">
        <f>Table1[[#This Row],[Lo Cost Est]]*Table1[[#This Row],[P2%]]</f>
        <v>3500</v>
      </c>
      <c r="U8" s="160">
        <f>Table1[[#This Row],[Hi Cost Est]]*Table1[[#This Row],[P2%]]</f>
        <v>3500</v>
      </c>
      <c r="V8" s="158">
        <f>Table1[[#This Row],[Lo Hrs.]]*Table1[[#This Row],[P3%]]</f>
        <v>0</v>
      </c>
      <c r="W8" s="158">
        <f>Table1[[#This Row],[Hi Hrs.]]*Table1[[#This Row],[P3%]]</f>
        <v>0</v>
      </c>
      <c r="X8" s="160">
        <f>Table1[[#This Row],[Lo Cost Est]]*Table1[[#This Row],[P3%]]</f>
        <v>0</v>
      </c>
      <c r="Y8" s="160">
        <f>Table1[[#This Row],[Hi Cost Est]]*Table1[[#This Row],[P3%]]</f>
        <v>0</v>
      </c>
      <c r="Z8" s="162" t="s">
        <v>35</v>
      </c>
      <c r="AA8" s="190"/>
    </row>
    <row r="9" spans="2:40" x14ac:dyDescent="0.25">
      <c r="B9" s="102" t="s">
        <v>36</v>
      </c>
      <c r="C9" s="56" t="s">
        <v>34</v>
      </c>
      <c r="D9" s="121"/>
      <c r="E9" s="122"/>
      <c r="F9" s="3">
        <f>IFERROR(Table1[[#This Row],[Lo Hrs.]]*VLOOKUP(Table1[[#This Row],[Rate]],'Configuration Table'!A:B,2,FALSE),0)</f>
        <v>0</v>
      </c>
      <c r="G9" s="3">
        <f>IFERROR(Table1[[#This Row],[Hi Hrs.]]*VLOOKUP(Table1[[#This Row],[Rate]],'Configuration Table'!A:B,2,FALSE),0)</f>
        <v>0</v>
      </c>
      <c r="H9" t="str">
        <f>IFERROR(VLOOKUP(Table1[[#This Row],[Rate]],'Configuration Table'!A:G,7,FALSE),"")</f>
        <v>Red</v>
      </c>
      <c r="I9" t="str">
        <f>IFERROR(VLOOKUP(Table1[[#This Row],[Rate]],'Configuration Table'!A:G,5,FALSE),"")</f>
        <v>License</v>
      </c>
      <c r="J9" t="str">
        <f>IFERROR(VLOOKUP(Table1[[#This Row],[Rate]],'Configuration Table'!A:G,6,FALSE),"")</f>
        <v>Clarity Connect Software License (typically $17,000)</v>
      </c>
      <c r="K9" s="53"/>
      <c r="L9" s="53">
        <v>1</v>
      </c>
      <c r="M9" s="53"/>
      <c r="N9">
        <f>Table1[[#This Row],[Lo Hrs.]]*Table1[[#This Row],[P1%]]</f>
        <v>0</v>
      </c>
      <c r="O9">
        <f>Table1[[#This Row],[Hi Hrs.]]*Table1[[#This Row],[P1%]]</f>
        <v>0</v>
      </c>
      <c r="P9" s="3">
        <f>Table1[[#This Row],[Lo Cost Est]]*Table1[[#This Row],[P1%]]</f>
        <v>0</v>
      </c>
      <c r="Q9" s="3">
        <f>Table1[[#This Row],[Hi Cost Est]]*Table1[[#This Row],[P1%]]</f>
        <v>0</v>
      </c>
      <c r="R9">
        <f>Table1[[#This Row],[Lo Hrs.]]*Table1[[#This Row],[P2%]]</f>
        <v>0</v>
      </c>
      <c r="S9">
        <f>Table1[[#This Row],[Hi Hrs.]]*Table1[[#This Row],[P2%]]</f>
        <v>0</v>
      </c>
      <c r="T9" s="3">
        <f>Table1[[#This Row],[Lo Cost Est]]*Table1[[#This Row],[P2%]]</f>
        <v>0</v>
      </c>
      <c r="U9" s="3">
        <f>Table1[[#This Row],[Hi Cost Est]]*Table1[[#This Row],[P2%]]</f>
        <v>0</v>
      </c>
      <c r="V9">
        <f>Table1[[#This Row],[Lo Hrs.]]*Table1[[#This Row],[P3%]]</f>
        <v>0</v>
      </c>
      <c r="W9">
        <f>Table1[[#This Row],[Hi Hrs.]]*Table1[[#This Row],[P3%]]</f>
        <v>0</v>
      </c>
      <c r="X9" s="3">
        <f>Table1[[#This Row],[Lo Cost Est]]*Table1[[#This Row],[P3%]]</f>
        <v>0</v>
      </c>
      <c r="Y9" s="3">
        <f>Table1[[#This Row],[Hi Cost Est]]*Table1[[#This Row],[P3%]]</f>
        <v>0</v>
      </c>
      <c r="Z9" s="103" t="s">
        <v>37</v>
      </c>
      <c r="AA9" s="186"/>
    </row>
    <row r="10" spans="2:40" ht="15.75" thickBot="1" x14ac:dyDescent="0.3">
      <c r="B10" s="104" t="s">
        <v>38</v>
      </c>
      <c r="C10" s="56" t="s">
        <v>34</v>
      </c>
      <c r="D10" s="123"/>
      <c r="E10" s="124"/>
      <c r="F10" s="106">
        <f>IFERROR(Table1[[#This Row],[Lo Hrs.]]*VLOOKUP(Table1[[#This Row],[Rate]],'Configuration Table'!A:B,2,FALSE),0)</f>
        <v>0</v>
      </c>
      <c r="G10" s="106">
        <f>IFERROR(Table1[[#This Row],[Hi Hrs.]]*VLOOKUP(Table1[[#This Row],[Rate]],'Configuration Table'!A:B,2,FALSE),0)</f>
        <v>0</v>
      </c>
      <c r="H10" s="107" t="str">
        <f>IFERROR(VLOOKUP(Table1[[#This Row],[Rate]],'Configuration Table'!A:G,7,FALSE),"")</f>
        <v>Red</v>
      </c>
      <c r="I10" s="107" t="str">
        <f>IFERROR(VLOOKUP(Table1[[#This Row],[Rate]],'Configuration Table'!A:G,5,FALSE),"")</f>
        <v>License</v>
      </c>
      <c r="J10" s="107" t="str">
        <f>IFERROR(VLOOKUP(Table1[[#This Row],[Rate]],'Configuration Table'!A:G,6,FALSE),"")</f>
        <v>Clarity Connect Software License (typically $17,000)</v>
      </c>
      <c r="K10" s="108"/>
      <c r="L10" s="108">
        <v>1</v>
      </c>
      <c r="M10" s="108"/>
      <c r="N10" s="107">
        <f>Table1[[#This Row],[Lo Hrs.]]*Table1[[#This Row],[P1%]]</f>
        <v>0</v>
      </c>
      <c r="O10" s="107">
        <f>Table1[[#This Row],[Hi Hrs.]]*Table1[[#This Row],[P1%]]</f>
        <v>0</v>
      </c>
      <c r="P10" s="106">
        <f>Table1[[#This Row],[Lo Cost Est]]*Table1[[#This Row],[P1%]]</f>
        <v>0</v>
      </c>
      <c r="Q10" s="106">
        <f>Table1[[#This Row],[Hi Cost Est]]*Table1[[#This Row],[P1%]]</f>
        <v>0</v>
      </c>
      <c r="R10" s="107">
        <f>Table1[[#This Row],[Lo Hrs.]]*Table1[[#This Row],[P2%]]</f>
        <v>0</v>
      </c>
      <c r="S10" s="107">
        <f>Table1[[#This Row],[Hi Hrs.]]*Table1[[#This Row],[P2%]]</f>
        <v>0</v>
      </c>
      <c r="T10" s="106">
        <f>Table1[[#This Row],[Lo Cost Est]]*Table1[[#This Row],[P2%]]</f>
        <v>0</v>
      </c>
      <c r="U10" s="106">
        <f>Table1[[#This Row],[Hi Cost Est]]*Table1[[#This Row],[P2%]]</f>
        <v>0</v>
      </c>
      <c r="V10" s="107">
        <f>Table1[[#This Row],[Lo Hrs.]]*Table1[[#This Row],[P3%]]</f>
        <v>0</v>
      </c>
      <c r="W10" s="107">
        <f>Table1[[#This Row],[Hi Hrs.]]*Table1[[#This Row],[P3%]]</f>
        <v>0</v>
      </c>
      <c r="X10" s="106">
        <f>Table1[[#This Row],[Lo Cost Est]]*Table1[[#This Row],[P3%]]</f>
        <v>0</v>
      </c>
      <c r="Y10" s="106">
        <f>Table1[[#This Row],[Hi Cost Est]]*Table1[[#This Row],[P3%]]</f>
        <v>0</v>
      </c>
      <c r="Z10" s="109" t="s">
        <v>39</v>
      </c>
      <c r="AA10" s="187"/>
    </row>
    <row r="11" spans="2:40" ht="75" x14ac:dyDescent="0.25">
      <c r="B11" s="133" t="s">
        <v>40</v>
      </c>
      <c r="C11" s="112" t="s">
        <v>26</v>
      </c>
      <c r="D11" s="129"/>
      <c r="E11" s="130"/>
      <c r="F11" s="98">
        <f>IFERROR(Table1[[#This Row],[Lo Hrs.]]*VLOOKUP(Table1[[#This Row],[Rate]],'Configuration Table'!A:B,2,FALSE),0)</f>
        <v>0</v>
      </c>
      <c r="G11" s="98">
        <f>IFERROR(Table1[[#This Row],[Hi Hrs.]]*VLOOKUP(Table1[[#This Row],[Rate]],'Configuration Table'!A:B,2,FALSE),0)</f>
        <v>0</v>
      </c>
      <c r="H11" s="99" t="str">
        <f>IFERROR(VLOOKUP(Table1[[#This Row],[Rate]],'Configuration Table'!A:G,7,FALSE),"")</f>
        <v>Red</v>
      </c>
      <c r="I11" s="99" t="str">
        <f>IFERROR(VLOOKUP(Table1[[#This Row],[Rate]],'Configuration Table'!A:G,5,FALSE),"")</f>
        <v>License</v>
      </c>
      <c r="J11" s="99" t="str">
        <f>IFERROR(VLOOKUP(Table1[[#This Row],[Rate]],'Configuration Table'!A:G,6,FALSE),"")</f>
        <v>Clarity eCommerce Software License (typically $20,000)</v>
      </c>
      <c r="K11" s="100"/>
      <c r="L11" s="100">
        <v>1</v>
      </c>
      <c r="M11" s="100"/>
      <c r="N11" s="99">
        <f>Table1[[#This Row],[Lo Hrs.]]*Table1[[#This Row],[P1%]]</f>
        <v>0</v>
      </c>
      <c r="O11" s="99">
        <f>Table1[[#This Row],[Hi Hrs.]]*Table1[[#This Row],[P1%]]</f>
        <v>0</v>
      </c>
      <c r="P11" s="98">
        <f>Table1[[#This Row],[Lo Cost Est]]*Table1[[#This Row],[P1%]]</f>
        <v>0</v>
      </c>
      <c r="Q11" s="98">
        <f>Table1[[#This Row],[Hi Cost Est]]*Table1[[#This Row],[P1%]]</f>
        <v>0</v>
      </c>
      <c r="R11" s="99">
        <f>Table1[[#This Row],[Lo Hrs.]]*Table1[[#This Row],[P2%]]</f>
        <v>0</v>
      </c>
      <c r="S11" s="99">
        <f>Table1[[#This Row],[Hi Hrs.]]*Table1[[#This Row],[P2%]]</f>
        <v>0</v>
      </c>
      <c r="T11" s="98">
        <f>Table1[[#This Row],[Lo Cost Est]]*Table1[[#This Row],[P2%]]</f>
        <v>0</v>
      </c>
      <c r="U11" s="98">
        <f>Table1[[#This Row],[Hi Cost Est]]*Table1[[#This Row],[P2%]]</f>
        <v>0</v>
      </c>
      <c r="V11" s="99">
        <f>Table1[[#This Row],[Lo Hrs.]]*Table1[[#This Row],[P3%]]</f>
        <v>0</v>
      </c>
      <c r="W11" s="99">
        <f>Table1[[#This Row],[Hi Hrs.]]*Table1[[#This Row],[P3%]]</f>
        <v>0</v>
      </c>
      <c r="X11" s="98">
        <f>Table1[[#This Row],[Lo Cost Est]]*Table1[[#This Row],[P3%]]</f>
        <v>0</v>
      </c>
      <c r="Y11" s="98">
        <f>Table1[[#This Row],[Hi Cost Est]]*Table1[[#This Row],[P3%]]</f>
        <v>0</v>
      </c>
      <c r="Z11" s="101" t="s">
        <v>41</v>
      </c>
      <c r="AA11" s="185" t="s">
        <v>42</v>
      </c>
    </row>
    <row r="12" spans="2:40" ht="30" x14ac:dyDescent="0.25">
      <c r="B12" s="102" t="s">
        <v>43</v>
      </c>
      <c r="C12" s="56" t="s">
        <v>26</v>
      </c>
      <c r="D12" s="125"/>
      <c r="E12" s="126"/>
      <c r="F12" s="3">
        <f>IFERROR(Table1[[#This Row],[Lo Hrs.]]*VLOOKUP(Table1[[#This Row],[Rate]],'Configuration Table'!A:B,2,FALSE),0)</f>
        <v>0</v>
      </c>
      <c r="G12" s="3">
        <f>IFERROR(Table1[[#This Row],[Hi Hrs.]]*VLOOKUP(Table1[[#This Row],[Rate]],'Configuration Table'!A:B,2,FALSE),0)</f>
        <v>0</v>
      </c>
      <c r="H12" t="str">
        <f>IFERROR(VLOOKUP(Table1[[#This Row],[Rate]],'Configuration Table'!A:G,7,FALSE),"")</f>
        <v>Red</v>
      </c>
      <c r="I12" t="str">
        <f>IFERROR(VLOOKUP(Table1[[#This Row],[Rate]],'Configuration Table'!A:G,5,FALSE),"")</f>
        <v>License</v>
      </c>
      <c r="J12" t="str">
        <f>IFERROR(VLOOKUP(Table1[[#This Row],[Rate]],'Configuration Table'!A:G,6,FALSE),"")</f>
        <v>Clarity eCommerce Software License (typically $20,000)</v>
      </c>
      <c r="K12" s="53"/>
      <c r="L12" s="53">
        <v>1</v>
      </c>
      <c r="M12" s="53"/>
      <c r="N12">
        <f>Table1[[#This Row],[Lo Hrs.]]*Table1[[#This Row],[P1%]]</f>
        <v>0</v>
      </c>
      <c r="O12">
        <f>Table1[[#This Row],[Hi Hrs.]]*Table1[[#This Row],[P1%]]</f>
        <v>0</v>
      </c>
      <c r="P12" s="3">
        <f>Table1[[#This Row],[Lo Cost Est]]*Table1[[#This Row],[P1%]]</f>
        <v>0</v>
      </c>
      <c r="Q12" s="3">
        <f>Table1[[#This Row],[Hi Cost Est]]*Table1[[#This Row],[P1%]]</f>
        <v>0</v>
      </c>
      <c r="R12">
        <f>Table1[[#This Row],[Lo Hrs.]]*Table1[[#This Row],[P2%]]</f>
        <v>0</v>
      </c>
      <c r="S12">
        <f>Table1[[#This Row],[Hi Hrs.]]*Table1[[#This Row],[P2%]]</f>
        <v>0</v>
      </c>
      <c r="T12" s="3">
        <f>Table1[[#This Row],[Lo Cost Est]]*Table1[[#This Row],[P2%]]</f>
        <v>0</v>
      </c>
      <c r="U12" s="3">
        <f>Table1[[#This Row],[Hi Cost Est]]*Table1[[#This Row],[P2%]]</f>
        <v>0</v>
      </c>
      <c r="V12">
        <f>Table1[[#This Row],[Lo Hrs.]]*Table1[[#This Row],[P3%]]</f>
        <v>0</v>
      </c>
      <c r="W12">
        <f>Table1[[#This Row],[Hi Hrs.]]*Table1[[#This Row],[P3%]]</f>
        <v>0</v>
      </c>
      <c r="X12" s="3">
        <f>Table1[[#This Row],[Lo Cost Est]]*Table1[[#This Row],[P3%]]</f>
        <v>0</v>
      </c>
      <c r="Y12" s="3">
        <f>Table1[[#This Row],[Hi Cost Est]]*Table1[[#This Row],[P3%]]</f>
        <v>0</v>
      </c>
      <c r="Z12" s="103" t="s">
        <v>44</v>
      </c>
      <c r="AA12" s="186"/>
      <c r="AM12"/>
      <c r="AN12"/>
    </row>
    <row r="13" spans="2:40" ht="30" x14ac:dyDescent="0.25">
      <c r="B13" s="102" t="s">
        <v>45</v>
      </c>
      <c r="C13" s="56" t="s">
        <v>46</v>
      </c>
      <c r="D13" s="125"/>
      <c r="E13" s="126"/>
      <c r="F13" s="3">
        <f>IFERROR(Table1[[#This Row],[Lo Hrs.]]*VLOOKUP(Table1[[#This Row],[Rate]],'Configuration Table'!A:B,2,FALSE),0)</f>
        <v>0</v>
      </c>
      <c r="G13" s="3">
        <f>IFERROR(Table1[[#This Row],[Hi Hrs.]]*VLOOKUP(Table1[[#This Row],[Rate]],'Configuration Table'!A:B,2,FALSE),0)</f>
        <v>0</v>
      </c>
      <c r="H13" t="str">
        <f>IFERROR(VLOOKUP(Table1[[#This Row],[Rate]],'Configuration Table'!A:G,7,FALSE),"")</f>
        <v>Red</v>
      </c>
      <c r="I13" t="str">
        <f>IFERROR(VLOOKUP(Table1[[#This Row],[Rate]],'Configuration Table'!A:G,5,FALSE),"")</f>
        <v>License</v>
      </c>
      <c r="J13" t="str">
        <f>IFERROR(VLOOKUP(Table1[[#This Row],[Rate]],'Configuration Table'!A:G,6,FALSE),"")</f>
        <v>Clarity eCommerce Software License (typically $20,000)</v>
      </c>
      <c r="K13" s="53"/>
      <c r="L13" s="53">
        <v>1</v>
      </c>
      <c r="M13" s="53"/>
      <c r="N13">
        <f>Table1[[#This Row],[Lo Hrs.]]*Table1[[#This Row],[P1%]]</f>
        <v>0</v>
      </c>
      <c r="O13">
        <f>Table1[[#This Row],[Hi Hrs.]]*Table1[[#This Row],[P1%]]</f>
        <v>0</v>
      </c>
      <c r="P13" s="3">
        <f>Table1[[#This Row],[Lo Cost Est]]*Table1[[#This Row],[P1%]]</f>
        <v>0</v>
      </c>
      <c r="Q13" s="3">
        <f>Table1[[#This Row],[Hi Cost Est]]*Table1[[#This Row],[P1%]]</f>
        <v>0</v>
      </c>
      <c r="R13">
        <f>Table1[[#This Row],[Lo Hrs.]]*Table1[[#This Row],[P2%]]</f>
        <v>0</v>
      </c>
      <c r="S13">
        <f>Table1[[#This Row],[Hi Hrs.]]*Table1[[#This Row],[P2%]]</f>
        <v>0</v>
      </c>
      <c r="T13" s="3">
        <f>Table1[[#This Row],[Lo Cost Est]]*Table1[[#This Row],[P2%]]</f>
        <v>0</v>
      </c>
      <c r="U13" s="3">
        <f>Table1[[#This Row],[Hi Cost Est]]*Table1[[#This Row],[P2%]]</f>
        <v>0</v>
      </c>
      <c r="V13">
        <f>Table1[[#This Row],[Lo Hrs.]]*Table1[[#This Row],[P3%]]</f>
        <v>0</v>
      </c>
      <c r="W13">
        <f>Table1[[#This Row],[Hi Hrs.]]*Table1[[#This Row],[P3%]]</f>
        <v>0</v>
      </c>
      <c r="X13" s="3">
        <f>Table1[[#This Row],[Lo Cost Est]]*Table1[[#This Row],[P3%]]</f>
        <v>0</v>
      </c>
      <c r="Y13" s="3">
        <f>Table1[[#This Row],[Hi Cost Est]]*Table1[[#This Row],[P3%]]</f>
        <v>0</v>
      </c>
      <c r="Z13" s="103" t="s">
        <v>47</v>
      </c>
      <c r="AA13" s="186"/>
      <c r="AM13"/>
      <c r="AN13"/>
    </row>
    <row r="14" spans="2:40" ht="45" x14ac:dyDescent="0.25">
      <c r="B14" s="102" t="s">
        <v>48</v>
      </c>
      <c r="C14" s="56" t="s">
        <v>26</v>
      </c>
      <c r="D14" s="125"/>
      <c r="E14" s="126"/>
      <c r="F14" s="3">
        <f>IFERROR(Table1[[#This Row],[Lo Hrs.]]*VLOOKUP(Table1[[#This Row],[Rate]],'Configuration Table'!A:B,2,FALSE),0)</f>
        <v>0</v>
      </c>
      <c r="G14" s="3">
        <f>IFERROR(Table1[[#This Row],[Hi Hrs.]]*VLOOKUP(Table1[[#This Row],[Rate]],'Configuration Table'!A:B,2,FALSE),0)</f>
        <v>0</v>
      </c>
      <c r="H14" t="str">
        <f>IFERROR(VLOOKUP(Table1[[#This Row],[Rate]],'Configuration Table'!A:G,7,FALSE),"")</f>
        <v>Red</v>
      </c>
      <c r="I14" t="str">
        <f>IFERROR(VLOOKUP(Table1[[#This Row],[Rate]],'Configuration Table'!A:G,5,FALSE),"")</f>
        <v>License</v>
      </c>
      <c r="J14" t="str">
        <f>IFERROR(VLOOKUP(Table1[[#This Row],[Rate]],'Configuration Table'!A:G,6,FALSE),"")</f>
        <v>Clarity eCommerce Software License (typically $20,000)</v>
      </c>
      <c r="K14" s="53"/>
      <c r="L14" s="53">
        <v>1</v>
      </c>
      <c r="M14" s="53"/>
      <c r="N14">
        <f>Table1[[#This Row],[Lo Hrs.]]*Table1[[#This Row],[P1%]]</f>
        <v>0</v>
      </c>
      <c r="O14">
        <f>Table1[[#This Row],[Hi Hrs.]]*Table1[[#This Row],[P1%]]</f>
        <v>0</v>
      </c>
      <c r="P14" s="3">
        <f>Table1[[#This Row],[Lo Cost Est]]*Table1[[#This Row],[P1%]]</f>
        <v>0</v>
      </c>
      <c r="Q14" s="3">
        <f>Table1[[#This Row],[Hi Cost Est]]*Table1[[#This Row],[P1%]]</f>
        <v>0</v>
      </c>
      <c r="R14">
        <f>Table1[[#This Row],[Lo Hrs.]]*Table1[[#This Row],[P2%]]</f>
        <v>0</v>
      </c>
      <c r="S14">
        <f>Table1[[#This Row],[Hi Hrs.]]*Table1[[#This Row],[P2%]]</f>
        <v>0</v>
      </c>
      <c r="T14" s="3">
        <f>Table1[[#This Row],[Lo Cost Est]]*Table1[[#This Row],[P2%]]</f>
        <v>0</v>
      </c>
      <c r="U14" s="3">
        <f>Table1[[#This Row],[Hi Cost Est]]*Table1[[#This Row],[P2%]]</f>
        <v>0</v>
      </c>
      <c r="V14">
        <f>Table1[[#This Row],[Lo Hrs.]]*Table1[[#This Row],[P3%]]</f>
        <v>0</v>
      </c>
      <c r="W14">
        <f>Table1[[#This Row],[Hi Hrs.]]*Table1[[#This Row],[P3%]]</f>
        <v>0</v>
      </c>
      <c r="X14" s="3">
        <f>Table1[[#This Row],[Lo Cost Est]]*Table1[[#This Row],[P3%]]</f>
        <v>0</v>
      </c>
      <c r="Y14" s="3">
        <f>Table1[[#This Row],[Hi Cost Est]]*Table1[[#This Row],[P3%]]</f>
        <v>0</v>
      </c>
      <c r="Z14" s="103" t="s">
        <v>49</v>
      </c>
      <c r="AA14" s="186"/>
      <c r="AM14"/>
      <c r="AN14"/>
    </row>
    <row r="15" spans="2:40" ht="60.75" thickBot="1" x14ac:dyDescent="0.3">
      <c r="B15" s="104" t="s">
        <v>50</v>
      </c>
      <c r="C15" s="105" t="s">
        <v>26</v>
      </c>
      <c r="D15" s="127"/>
      <c r="E15" s="128"/>
      <c r="F15" s="106">
        <f>IFERROR(Table1[[#This Row],[Lo Hrs.]]*VLOOKUP(Table1[[#This Row],[Rate]],'Configuration Table'!A:B,2,FALSE),0)</f>
        <v>0</v>
      </c>
      <c r="G15" s="106">
        <f>IFERROR(Table1[[#This Row],[Hi Hrs.]]*VLOOKUP(Table1[[#This Row],[Rate]],'Configuration Table'!A:B,2,FALSE),0)</f>
        <v>0</v>
      </c>
      <c r="H15" s="107" t="str">
        <f>IFERROR(VLOOKUP(Table1[[#This Row],[Rate]],'Configuration Table'!A:G,7,FALSE),"")</f>
        <v>Red</v>
      </c>
      <c r="I15" s="107" t="str">
        <f>IFERROR(VLOOKUP(Table1[[#This Row],[Rate]],'Configuration Table'!A:G,5,FALSE),"")</f>
        <v>License</v>
      </c>
      <c r="J15" s="107" t="str">
        <f>IFERROR(VLOOKUP(Table1[[#This Row],[Rate]],'Configuration Table'!A:G,6,FALSE),"")</f>
        <v>Clarity eCommerce Software License (typically $20,000)</v>
      </c>
      <c r="K15" s="108"/>
      <c r="L15" s="108">
        <v>1</v>
      </c>
      <c r="M15" s="108"/>
      <c r="N15" s="107">
        <f>Table1[[#This Row],[Lo Hrs.]]*Table1[[#This Row],[P1%]]</f>
        <v>0</v>
      </c>
      <c r="O15" s="107">
        <f>Table1[[#This Row],[Hi Hrs.]]*Table1[[#This Row],[P1%]]</f>
        <v>0</v>
      </c>
      <c r="P15" s="106">
        <f>Table1[[#This Row],[Lo Cost Est]]*Table1[[#This Row],[P1%]]</f>
        <v>0</v>
      </c>
      <c r="Q15" s="106">
        <f>Table1[[#This Row],[Hi Cost Est]]*Table1[[#This Row],[P1%]]</f>
        <v>0</v>
      </c>
      <c r="R15" s="107">
        <f>Table1[[#This Row],[Lo Hrs.]]*Table1[[#This Row],[P2%]]</f>
        <v>0</v>
      </c>
      <c r="S15" s="107">
        <f>Table1[[#This Row],[Hi Hrs.]]*Table1[[#This Row],[P2%]]</f>
        <v>0</v>
      </c>
      <c r="T15" s="106">
        <f>Table1[[#This Row],[Lo Cost Est]]*Table1[[#This Row],[P2%]]</f>
        <v>0</v>
      </c>
      <c r="U15" s="106">
        <f>Table1[[#This Row],[Hi Cost Est]]*Table1[[#This Row],[P2%]]</f>
        <v>0</v>
      </c>
      <c r="V15" s="107">
        <f>Table1[[#This Row],[Lo Hrs.]]*Table1[[#This Row],[P3%]]</f>
        <v>0</v>
      </c>
      <c r="W15" s="107">
        <f>Table1[[#This Row],[Hi Hrs.]]*Table1[[#This Row],[P3%]]</f>
        <v>0</v>
      </c>
      <c r="X15" s="106">
        <f>Table1[[#This Row],[Lo Cost Est]]*Table1[[#This Row],[P3%]]</f>
        <v>0</v>
      </c>
      <c r="Y15" s="106">
        <f>Table1[[#This Row],[Hi Cost Est]]*Table1[[#This Row],[P3%]]</f>
        <v>0</v>
      </c>
      <c r="Z15" s="109" t="s">
        <v>51</v>
      </c>
      <c r="AA15" s="187"/>
      <c r="AM15"/>
      <c r="AN15"/>
    </row>
    <row r="16" spans="2:40" ht="60" x14ac:dyDescent="0.25">
      <c r="B16" s="110" t="s">
        <v>52</v>
      </c>
      <c r="C16" s="56" t="s">
        <v>34</v>
      </c>
      <c r="D16" s="121"/>
      <c r="E16" s="122"/>
      <c r="F16" s="3">
        <f>IFERROR(Table1[[#This Row],[Lo Hrs.]]*VLOOKUP(Table1[[#This Row],[Rate]],'Configuration Table'!A:B,2,FALSE),0)</f>
        <v>0</v>
      </c>
      <c r="G16" s="3">
        <f>IFERROR(Table1[[#This Row],[Hi Hrs.]]*VLOOKUP(Table1[[#This Row],[Rate]],'Configuration Table'!A:B,2,FALSE),0)</f>
        <v>0</v>
      </c>
      <c r="H16" t="str">
        <f>IFERROR(VLOOKUP(Table1[[#This Row],[Rate]],'Configuration Table'!A:G,7,FALSE),"")</f>
        <v>Red</v>
      </c>
      <c r="I16" t="str">
        <f>IFERROR(VLOOKUP(Table1[[#This Row],[Rate]],'Configuration Table'!A:G,5,FALSE),"")</f>
        <v>License</v>
      </c>
      <c r="J16" t="str">
        <f>IFERROR(VLOOKUP(Table1[[#This Row],[Rate]],'Configuration Table'!A:G,6,FALSE),"")</f>
        <v>Clarity Connect Software License (typically $17,000)</v>
      </c>
      <c r="K16" s="53"/>
      <c r="L16" s="53">
        <v>1</v>
      </c>
      <c r="M16" s="53"/>
      <c r="N16">
        <f>Table1[[#This Row],[Lo Hrs.]]*Table1[[#This Row],[P1%]]</f>
        <v>0</v>
      </c>
      <c r="O16">
        <f>Table1[[#This Row],[Hi Hrs.]]*Table1[[#This Row],[P1%]]</f>
        <v>0</v>
      </c>
      <c r="P16" s="3">
        <f>Table1[[#This Row],[Lo Cost Est]]*Table1[[#This Row],[P1%]]</f>
        <v>0</v>
      </c>
      <c r="Q16" s="3">
        <f>Table1[[#This Row],[Hi Cost Est]]*Table1[[#This Row],[P1%]]</f>
        <v>0</v>
      </c>
      <c r="R16">
        <f>Table1[[#This Row],[Lo Hrs.]]*Table1[[#This Row],[P2%]]</f>
        <v>0</v>
      </c>
      <c r="S16">
        <f>Table1[[#This Row],[Hi Hrs.]]*Table1[[#This Row],[P2%]]</f>
        <v>0</v>
      </c>
      <c r="T16" s="3">
        <f>Table1[[#This Row],[Lo Cost Est]]*Table1[[#This Row],[P2%]]</f>
        <v>0</v>
      </c>
      <c r="U16" s="3">
        <f>Table1[[#This Row],[Hi Cost Est]]*Table1[[#This Row],[P2%]]</f>
        <v>0</v>
      </c>
      <c r="V16">
        <f>Table1[[#This Row],[Lo Hrs.]]*Table1[[#This Row],[P3%]]</f>
        <v>0</v>
      </c>
      <c r="W16">
        <f>Table1[[#This Row],[Hi Hrs.]]*Table1[[#This Row],[P3%]]</f>
        <v>0</v>
      </c>
      <c r="X16" s="3">
        <f>Table1[[#This Row],[Lo Cost Est]]*Table1[[#This Row],[P3%]]</f>
        <v>0</v>
      </c>
      <c r="Y16" s="3">
        <f>Table1[[#This Row],[Hi Cost Est]]*Table1[[#This Row],[P3%]]</f>
        <v>0</v>
      </c>
      <c r="Z16" s="103" t="s">
        <v>53</v>
      </c>
      <c r="AA16" s="185" t="s">
        <v>54</v>
      </c>
    </row>
    <row r="17" spans="2:27" ht="45" x14ac:dyDescent="0.25">
      <c r="B17" s="102" t="s">
        <v>55</v>
      </c>
      <c r="C17" s="56" t="s">
        <v>34</v>
      </c>
      <c r="D17" s="121"/>
      <c r="E17" s="122"/>
      <c r="F17" s="3">
        <f>IFERROR(Table1[[#This Row],[Lo Hrs.]]*VLOOKUP(Table1[[#This Row],[Rate]],'Configuration Table'!A:B,2,FALSE),0)</f>
        <v>0</v>
      </c>
      <c r="G17" s="3">
        <f>IFERROR(Table1[[#This Row],[Hi Hrs.]]*VLOOKUP(Table1[[#This Row],[Rate]],'Configuration Table'!A:B,2,FALSE),0)</f>
        <v>0</v>
      </c>
      <c r="H17" t="str">
        <f>IFERROR(VLOOKUP(Table1[[#This Row],[Rate]],'Configuration Table'!A:G,7,FALSE),"")</f>
        <v>Red</v>
      </c>
      <c r="I17" t="str">
        <f>IFERROR(VLOOKUP(Table1[[#This Row],[Rate]],'Configuration Table'!A:G,5,FALSE),"")</f>
        <v>License</v>
      </c>
      <c r="J17" t="str">
        <f>IFERROR(VLOOKUP(Table1[[#This Row],[Rate]],'Configuration Table'!A:G,6,FALSE),"")</f>
        <v>Clarity Connect Software License (typically $17,000)</v>
      </c>
      <c r="K17" s="53"/>
      <c r="L17" s="53">
        <v>1</v>
      </c>
      <c r="M17" s="53"/>
      <c r="N17">
        <f>Table1[[#This Row],[Lo Hrs.]]*Table1[[#This Row],[P1%]]</f>
        <v>0</v>
      </c>
      <c r="O17">
        <f>Table1[[#This Row],[Hi Hrs.]]*Table1[[#This Row],[P1%]]</f>
        <v>0</v>
      </c>
      <c r="P17" s="3">
        <f>Table1[[#This Row],[Lo Cost Est]]*Table1[[#This Row],[P1%]]</f>
        <v>0</v>
      </c>
      <c r="Q17" s="3">
        <f>Table1[[#This Row],[Hi Cost Est]]*Table1[[#This Row],[P1%]]</f>
        <v>0</v>
      </c>
      <c r="R17">
        <f>Table1[[#This Row],[Lo Hrs.]]*Table1[[#This Row],[P2%]]</f>
        <v>0</v>
      </c>
      <c r="S17">
        <f>Table1[[#This Row],[Hi Hrs.]]*Table1[[#This Row],[P2%]]</f>
        <v>0</v>
      </c>
      <c r="T17" s="3">
        <f>Table1[[#This Row],[Lo Cost Est]]*Table1[[#This Row],[P2%]]</f>
        <v>0</v>
      </c>
      <c r="U17" s="3">
        <f>Table1[[#This Row],[Hi Cost Est]]*Table1[[#This Row],[P2%]]</f>
        <v>0</v>
      </c>
      <c r="V17">
        <f>Table1[[#This Row],[Lo Hrs.]]*Table1[[#This Row],[P3%]]</f>
        <v>0</v>
      </c>
      <c r="W17">
        <f>Table1[[#This Row],[Hi Hrs.]]*Table1[[#This Row],[P3%]]</f>
        <v>0</v>
      </c>
      <c r="X17" s="3">
        <f>Table1[[#This Row],[Lo Cost Est]]*Table1[[#This Row],[P3%]]</f>
        <v>0</v>
      </c>
      <c r="Y17" s="3">
        <f>Table1[[#This Row],[Hi Cost Est]]*Table1[[#This Row],[P3%]]</f>
        <v>0</v>
      </c>
      <c r="Z17" s="103" t="s">
        <v>56</v>
      </c>
      <c r="AA17" s="186"/>
    </row>
    <row r="18" spans="2:27" ht="45" x14ac:dyDescent="0.25">
      <c r="B18" s="102" t="s">
        <v>57</v>
      </c>
      <c r="C18" s="56" t="s">
        <v>34</v>
      </c>
      <c r="D18" s="121"/>
      <c r="E18" s="122"/>
      <c r="F18" s="3">
        <f>IFERROR(Table1[[#This Row],[Lo Hrs.]]*VLOOKUP(Table1[[#This Row],[Rate]],'Configuration Table'!A:B,2,FALSE),0)</f>
        <v>0</v>
      </c>
      <c r="G18" s="3">
        <f>IFERROR(Table1[[#This Row],[Hi Hrs.]]*VLOOKUP(Table1[[#This Row],[Rate]],'Configuration Table'!A:B,2,FALSE),0)</f>
        <v>0</v>
      </c>
      <c r="H18" t="str">
        <f>IFERROR(VLOOKUP(Table1[[#This Row],[Rate]],'Configuration Table'!A:G,7,FALSE),"")</f>
        <v>Red</v>
      </c>
      <c r="I18" t="str">
        <f>IFERROR(VLOOKUP(Table1[[#This Row],[Rate]],'Configuration Table'!A:G,5,FALSE),"")</f>
        <v>License</v>
      </c>
      <c r="J18" t="str">
        <f>IFERROR(VLOOKUP(Table1[[#This Row],[Rate]],'Configuration Table'!A:G,6,FALSE),"")</f>
        <v>Clarity Connect Software License (typically $17,000)</v>
      </c>
      <c r="K18" s="53"/>
      <c r="L18" s="53">
        <v>1</v>
      </c>
      <c r="M18" s="53"/>
      <c r="N18">
        <f>Table1[[#This Row],[Lo Hrs.]]*Table1[[#This Row],[P1%]]</f>
        <v>0</v>
      </c>
      <c r="O18">
        <f>Table1[[#This Row],[Hi Hrs.]]*Table1[[#This Row],[P1%]]</f>
        <v>0</v>
      </c>
      <c r="P18" s="3">
        <f>Table1[[#This Row],[Lo Cost Est]]*Table1[[#This Row],[P1%]]</f>
        <v>0</v>
      </c>
      <c r="Q18" s="3">
        <f>Table1[[#This Row],[Hi Cost Est]]*Table1[[#This Row],[P1%]]</f>
        <v>0</v>
      </c>
      <c r="R18">
        <f>Table1[[#This Row],[Lo Hrs.]]*Table1[[#This Row],[P2%]]</f>
        <v>0</v>
      </c>
      <c r="S18">
        <f>Table1[[#This Row],[Hi Hrs.]]*Table1[[#This Row],[P2%]]</f>
        <v>0</v>
      </c>
      <c r="T18" s="3">
        <f>Table1[[#This Row],[Lo Cost Est]]*Table1[[#This Row],[P2%]]</f>
        <v>0</v>
      </c>
      <c r="U18" s="3">
        <f>Table1[[#This Row],[Hi Cost Est]]*Table1[[#This Row],[P2%]]</f>
        <v>0</v>
      </c>
      <c r="V18">
        <f>Table1[[#This Row],[Lo Hrs.]]*Table1[[#This Row],[P3%]]</f>
        <v>0</v>
      </c>
      <c r="W18">
        <f>Table1[[#This Row],[Hi Hrs.]]*Table1[[#This Row],[P3%]]</f>
        <v>0</v>
      </c>
      <c r="X18" s="3">
        <f>Table1[[#This Row],[Lo Cost Est]]*Table1[[#This Row],[P3%]]</f>
        <v>0</v>
      </c>
      <c r="Y18" s="3">
        <f>Table1[[#This Row],[Hi Cost Est]]*Table1[[#This Row],[P3%]]</f>
        <v>0</v>
      </c>
      <c r="Z18" s="103" t="s">
        <v>58</v>
      </c>
      <c r="AA18" s="186"/>
    </row>
    <row r="19" spans="2:27" ht="45" x14ac:dyDescent="0.25">
      <c r="B19" s="102" t="s">
        <v>59</v>
      </c>
      <c r="C19" s="56" t="s">
        <v>34</v>
      </c>
      <c r="D19" s="121"/>
      <c r="E19" s="122"/>
      <c r="F19" s="3">
        <f>IFERROR(Table1[[#This Row],[Lo Hrs.]]*VLOOKUP(Table1[[#This Row],[Rate]],'Configuration Table'!A:B,2,FALSE),0)</f>
        <v>0</v>
      </c>
      <c r="G19" s="3">
        <f>IFERROR(Table1[[#This Row],[Hi Hrs.]]*VLOOKUP(Table1[[#This Row],[Rate]],'Configuration Table'!A:B,2,FALSE),0)</f>
        <v>0</v>
      </c>
      <c r="H19" t="str">
        <f>IFERROR(VLOOKUP(Table1[[#This Row],[Rate]],'Configuration Table'!A:G,7,FALSE),"")</f>
        <v>Red</v>
      </c>
      <c r="I19" t="str">
        <f>IFERROR(VLOOKUP(Table1[[#This Row],[Rate]],'Configuration Table'!A:G,5,FALSE),"")</f>
        <v>License</v>
      </c>
      <c r="J19" t="str">
        <f>IFERROR(VLOOKUP(Table1[[#This Row],[Rate]],'Configuration Table'!A:G,6,FALSE),"")</f>
        <v>Clarity Connect Software License (typically $17,000)</v>
      </c>
      <c r="K19" s="53"/>
      <c r="L19" s="53">
        <v>1</v>
      </c>
      <c r="M19" s="53"/>
      <c r="N19">
        <f>Table1[[#This Row],[Lo Hrs.]]*Table1[[#This Row],[P1%]]</f>
        <v>0</v>
      </c>
      <c r="O19">
        <f>Table1[[#This Row],[Hi Hrs.]]*Table1[[#This Row],[P1%]]</f>
        <v>0</v>
      </c>
      <c r="P19" s="3">
        <f>Table1[[#This Row],[Lo Cost Est]]*Table1[[#This Row],[P1%]]</f>
        <v>0</v>
      </c>
      <c r="Q19" s="3">
        <f>Table1[[#This Row],[Hi Cost Est]]*Table1[[#This Row],[P1%]]</f>
        <v>0</v>
      </c>
      <c r="R19">
        <f>Table1[[#This Row],[Lo Hrs.]]*Table1[[#This Row],[P2%]]</f>
        <v>0</v>
      </c>
      <c r="S19">
        <f>Table1[[#This Row],[Hi Hrs.]]*Table1[[#This Row],[P2%]]</f>
        <v>0</v>
      </c>
      <c r="T19" s="3">
        <f>Table1[[#This Row],[Lo Cost Est]]*Table1[[#This Row],[P2%]]</f>
        <v>0</v>
      </c>
      <c r="U19" s="3">
        <f>Table1[[#This Row],[Hi Cost Est]]*Table1[[#This Row],[P2%]]</f>
        <v>0</v>
      </c>
      <c r="V19">
        <f>Table1[[#This Row],[Lo Hrs.]]*Table1[[#This Row],[P3%]]</f>
        <v>0</v>
      </c>
      <c r="W19">
        <f>Table1[[#This Row],[Hi Hrs.]]*Table1[[#This Row],[P3%]]</f>
        <v>0</v>
      </c>
      <c r="X19" s="3">
        <f>Table1[[#This Row],[Lo Cost Est]]*Table1[[#This Row],[P3%]]</f>
        <v>0</v>
      </c>
      <c r="Y19" s="3">
        <f>Table1[[#This Row],[Hi Cost Est]]*Table1[[#This Row],[P3%]]</f>
        <v>0</v>
      </c>
      <c r="Z19" s="103" t="s">
        <v>49</v>
      </c>
      <c r="AA19" s="186"/>
    </row>
    <row r="20" spans="2:27" ht="60" x14ac:dyDescent="0.25">
      <c r="B20" s="102" t="s">
        <v>50</v>
      </c>
      <c r="C20" s="56" t="s">
        <v>34</v>
      </c>
      <c r="D20" s="121"/>
      <c r="E20" s="122"/>
      <c r="F20" s="3">
        <f>IFERROR(Table1[[#This Row],[Lo Hrs.]]*VLOOKUP(Table1[[#This Row],[Rate]],'Configuration Table'!A:B,2,FALSE),0)</f>
        <v>0</v>
      </c>
      <c r="G20" s="3">
        <f>IFERROR(Table1[[#This Row],[Hi Hrs.]]*VLOOKUP(Table1[[#This Row],[Rate]],'Configuration Table'!A:B,2,FALSE),0)</f>
        <v>0</v>
      </c>
      <c r="H20" t="str">
        <f>IFERROR(VLOOKUP(Table1[[#This Row],[Rate]],'Configuration Table'!A:G,7,FALSE),"")</f>
        <v>Red</v>
      </c>
      <c r="I20" t="str">
        <f>IFERROR(VLOOKUP(Table1[[#This Row],[Rate]],'Configuration Table'!A:G,5,FALSE),"")</f>
        <v>License</v>
      </c>
      <c r="J20" t="str">
        <f>IFERROR(VLOOKUP(Table1[[#This Row],[Rate]],'Configuration Table'!A:G,6,FALSE),"")</f>
        <v>Clarity Connect Software License (typically $17,000)</v>
      </c>
      <c r="K20" s="53"/>
      <c r="L20" s="53">
        <v>1</v>
      </c>
      <c r="M20" s="53"/>
      <c r="N20">
        <f>Table1[[#This Row],[Lo Hrs.]]*Table1[[#This Row],[P1%]]</f>
        <v>0</v>
      </c>
      <c r="O20">
        <f>Table1[[#This Row],[Hi Hrs.]]*Table1[[#This Row],[P1%]]</f>
        <v>0</v>
      </c>
      <c r="P20" s="3">
        <f>Table1[[#This Row],[Lo Cost Est]]*Table1[[#This Row],[P1%]]</f>
        <v>0</v>
      </c>
      <c r="Q20" s="3">
        <f>Table1[[#This Row],[Hi Cost Est]]*Table1[[#This Row],[P1%]]</f>
        <v>0</v>
      </c>
      <c r="R20">
        <f>Table1[[#This Row],[Lo Hrs.]]*Table1[[#This Row],[P2%]]</f>
        <v>0</v>
      </c>
      <c r="S20">
        <f>Table1[[#This Row],[Hi Hrs.]]*Table1[[#This Row],[P2%]]</f>
        <v>0</v>
      </c>
      <c r="T20" s="3">
        <f>Table1[[#This Row],[Lo Cost Est]]*Table1[[#This Row],[P2%]]</f>
        <v>0</v>
      </c>
      <c r="U20" s="3">
        <f>Table1[[#This Row],[Hi Cost Est]]*Table1[[#This Row],[P2%]]</f>
        <v>0</v>
      </c>
      <c r="V20">
        <f>Table1[[#This Row],[Lo Hrs.]]*Table1[[#This Row],[P3%]]</f>
        <v>0</v>
      </c>
      <c r="W20">
        <f>Table1[[#This Row],[Hi Hrs.]]*Table1[[#This Row],[P3%]]</f>
        <v>0</v>
      </c>
      <c r="X20" s="3">
        <f>Table1[[#This Row],[Lo Cost Est]]*Table1[[#This Row],[P3%]]</f>
        <v>0</v>
      </c>
      <c r="Y20" s="3">
        <f>Table1[[#This Row],[Hi Cost Est]]*Table1[[#This Row],[P3%]]</f>
        <v>0</v>
      </c>
      <c r="Z20" s="103" t="s">
        <v>60</v>
      </c>
      <c r="AA20" s="186"/>
    </row>
    <row r="21" spans="2:27" ht="90.75" thickBot="1" x14ac:dyDescent="0.3">
      <c r="B21" s="104" t="s">
        <v>61</v>
      </c>
      <c r="C21" s="105" t="s">
        <v>62</v>
      </c>
      <c r="D21" s="127">
        <v>13</v>
      </c>
      <c r="E21" s="128">
        <v>13</v>
      </c>
      <c r="F21" s="154">
        <f>IFERROR(Table1[[#This Row],[Lo Hrs.]]*VLOOKUP(Table1[[#This Row],[Rate]],'Configuration Table'!A:B,2,FALSE),0)</f>
        <v>1950</v>
      </c>
      <c r="G21" s="154">
        <f>IFERROR(Table1[[#This Row],[Hi Hrs.]]*VLOOKUP(Table1[[#This Row],[Rate]],'Configuration Table'!A:B,2,FALSE),0)</f>
        <v>1950</v>
      </c>
      <c r="H21" s="107" t="str">
        <f>IFERROR(VLOOKUP(Table1[[#This Row],[Rate]],'Configuration Table'!A:G,7,FALSE),"")</f>
        <v>Yellow</v>
      </c>
      <c r="I21" s="107" t="str">
        <f>IFERROR(VLOOKUP(Table1[[#This Row],[Rate]],'Configuration Table'!A:G,5,FALSE),"")</f>
        <v>Back End</v>
      </c>
      <c r="J21" s="107" t="str">
        <f>IFERROR(VLOOKUP(Table1[[#This Row],[Rate]],'Configuration Table'!A:G,6,FALSE),"")</f>
        <v>Back End Hourly Rate ($175/hr. for post-pay)</v>
      </c>
      <c r="K21" s="155"/>
      <c r="L21" s="155">
        <v>1</v>
      </c>
      <c r="M21" s="155"/>
      <c r="N21" s="107">
        <f>Table1[[#This Row],[Lo Hrs.]]*Table1[[#This Row],[P1%]]</f>
        <v>0</v>
      </c>
      <c r="O21" s="107">
        <f>Table1[[#This Row],[Hi Hrs.]]*Table1[[#This Row],[P1%]]</f>
        <v>0</v>
      </c>
      <c r="P21" s="154">
        <f>Table1[[#This Row],[Lo Cost Est]]*Table1[[#This Row],[P1%]]</f>
        <v>0</v>
      </c>
      <c r="Q21" s="154">
        <f>Table1[[#This Row],[Hi Cost Est]]*Table1[[#This Row],[P1%]]</f>
        <v>0</v>
      </c>
      <c r="R21" s="107">
        <f>Table1[[#This Row],[Lo Hrs.]]*Table1[[#This Row],[P2%]]</f>
        <v>13</v>
      </c>
      <c r="S21" s="107">
        <f>Table1[[#This Row],[Hi Hrs.]]*Table1[[#This Row],[P2%]]</f>
        <v>13</v>
      </c>
      <c r="T21" s="154">
        <f>Table1[[#This Row],[Lo Cost Est]]*Table1[[#This Row],[P2%]]</f>
        <v>1950</v>
      </c>
      <c r="U21" s="154">
        <f>Table1[[#This Row],[Hi Cost Est]]*Table1[[#This Row],[P2%]]</f>
        <v>1950</v>
      </c>
      <c r="V21" s="107">
        <f>Table1[[#This Row],[Lo Hrs.]]*Table1[[#This Row],[P3%]]</f>
        <v>0</v>
      </c>
      <c r="W21" s="107">
        <f>Table1[[#This Row],[Hi Hrs.]]*Table1[[#This Row],[P3%]]</f>
        <v>0</v>
      </c>
      <c r="X21" s="154">
        <f>Table1[[#This Row],[Lo Cost Est]]*Table1[[#This Row],[P3%]]</f>
        <v>0</v>
      </c>
      <c r="Y21" s="154">
        <f>Table1[[#This Row],[Hi Cost Est]]*Table1[[#This Row],[P3%]]</f>
        <v>0</v>
      </c>
      <c r="Z21" s="109" t="s">
        <v>306</v>
      </c>
      <c r="AA21" s="187"/>
    </row>
    <row r="22" spans="2:27" ht="45.75" customHeight="1" x14ac:dyDescent="0.25">
      <c r="B22" s="102" t="s">
        <v>296</v>
      </c>
      <c r="C22" s="56" t="s">
        <v>70</v>
      </c>
      <c r="D22" s="125"/>
      <c r="E22" s="126">
        <f>IFERROR(INT(ROUNDUP(Table1[[#This Row],[Lo Hrs.]]*(1+VLOOKUP(Table1[[#This Row],[Rate]],'Configuration Table'!A:C,3,FALSE)),0)),0)</f>
        <v>0</v>
      </c>
      <c r="F22" s="3">
        <f>IFERROR(Table1[[#This Row],[Lo Hrs.]]*VLOOKUP(Table1[[#This Row],[Rate]],'Configuration Table'!A:B,2,FALSE),0)</f>
        <v>0</v>
      </c>
      <c r="G22" s="3">
        <f>IFERROR(Table1[[#This Row],[Hi Hrs.]]*VLOOKUP(Table1[[#This Row],[Rate]],'Configuration Table'!A:B,2,FALSE),0)</f>
        <v>0</v>
      </c>
      <c r="H22" t="str">
        <f>IFERROR(VLOOKUP(Table1[[#This Row],[Rate]],'Configuration Table'!A:G,7,FALSE),"")</f>
        <v>Dark Yellow</v>
      </c>
      <c r="I22" t="str">
        <f>IFERROR(VLOOKUP(Table1[[#This Row],[Rate]],'Configuration Table'!A:G,5,FALSE),"")</f>
        <v>Business Analyst</v>
      </c>
      <c r="J22" t="str">
        <f>IFERROR(VLOOKUP(Table1[[#This Row],[Rate]],'Configuration Table'!A:G,6,FALSE),"")</f>
        <v>Business Analysts normally required with projects needing BE development)</v>
      </c>
      <c r="K22" s="53"/>
      <c r="L22" s="111">
        <v>1</v>
      </c>
      <c r="M22" s="53"/>
      <c r="N22">
        <f>Table1[[#This Row],[Lo Hrs.]]*Table1[[#This Row],[P1%]]</f>
        <v>0</v>
      </c>
      <c r="O22">
        <f>Table1[[#This Row],[Hi Hrs.]]*Table1[[#This Row],[P1%]]</f>
        <v>0</v>
      </c>
      <c r="P22" s="3">
        <f>Table1[[#This Row],[Lo Cost Est]]*Table1[[#This Row],[P1%]]</f>
        <v>0</v>
      </c>
      <c r="Q22" s="3">
        <f>Table1[[#This Row],[Hi Cost Est]]*Table1[[#This Row],[P1%]]</f>
        <v>0</v>
      </c>
      <c r="R22">
        <f>Table1[[#This Row],[Lo Hrs.]]*Table1[[#This Row],[P2%]]</f>
        <v>0</v>
      </c>
      <c r="S22">
        <f>Table1[[#This Row],[Hi Hrs.]]*Table1[[#This Row],[P2%]]</f>
        <v>0</v>
      </c>
      <c r="T22" s="3">
        <f>Table1[[#This Row],[Lo Cost Est]]*Table1[[#This Row],[P2%]]</f>
        <v>0</v>
      </c>
      <c r="U22" s="3">
        <f>Table1[[#This Row],[Hi Cost Est]]*Table1[[#This Row],[P2%]]</f>
        <v>0</v>
      </c>
      <c r="V22">
        <f>Table1[[#This Row],[Lo Hrs.]]*Table1[[#This Row],[P3%]]</f>
        <v>0</v>
      </c>
      <c r="W22">
        <f>Table1[[#This Row],[Hi Hrs.]]*Table1[[#This Row],[P3%]]</f>
        <v>0</v>
      </c>
      <c r="X22" s="3">
        <f>Table1[[#This Row],[Lo Cost Est]]*Table1[[#This Row],[P3%]]</f>
        <v>0</v>
      </c>
      <c r="Y22" s="3">
        <f>Table1[[#This Row],[Hi Cost Est]]*Table1[[#This Row],[P3%]]</f>
        <v>0</v>
      </c>
      <c r="Z22" s="172" t="s">
        <v>299</v>
      </c>
      <c r="AA22" s="186" t="s">
        <v>64</v>
      </c>
    </row>
    <row r="23" spans="2:27" ht="45.75" customHeight="1" x14ac:dyDescent="0.25">
      <c r="B23" s="102" t="s">
        <v>297</v>
      </c>
      <c r="C23" s="56" t="s">
        <v>70</v>
      </c>
      <c r="D23" s="125"/>
      <c r="E23" s="126">
        <f>IFERROR(INT(ROUNDUP(Table1[[#This Row],[Lo Hrs.]]*(1+VLOOKUP(Table1[[#This Row],[Rate]],'Configuration Table'!A:C,3,FALSE)),0)),0)</f>
        <v>0</v>
      </c>
      <c r="F23" s="3">
        <f>IFERROR(Table1[[#This Row],[Lo Hrs.]]*VLOOKUP(Table1[[#This Row],[Rate]],'Configuration Table'!A:B,2,FALSE),0)</f>
        <v>0</v>
      </c>
      <c r="G23" s="3">
        <f>IFERROR(Table1[[#This Row],[Hi Hrs.]]*VLOOKUP(Table1[[#This Row],[Rate]],'Configuration Table'!A:B,2,FALSE),0)</f>
        <v>0</v>
      </c>
      <c r="H23" t="str">
        <f>IFERROR(VLOOKUP(Table1[[#This Row],[Rate]],'Configuration Table'!A:G,7,FALSE),"")</f>
        <v>Dark Yellow</v>
      </c>
      <c r="I23" t="str">
        <f>IFERROR(VLOOKUP(Table1[[#This Row],[Rate]],'Configuration Table'!A:G,5,FALSE),"")</f>
        <v>Business Analyst</v>
      </c>
      <c r="J23" t="str">
        <f>IFERROR(VLOOKUP(Table1[[#This Row],[Rate]],'Configuration Table'!A:G,6,FALSE),"")</f>
        <v>Business Analysts normally required with projects needing BE development)</v>
      </c>
      <c r="K23" s="53"/>
      <c r="L23" s="111">
        <v>1</v>
      </c>
      <c r="M23" s="53"/>
      <c r="N23">
        <f>Table1[[#This Row],[Lo Hrs.]]*Table1[[#This Row],[P1%]]</f>
        <v>0</v>
      </c>
      <c r="O23">
        <f>Table1[[#This Row],[Hi Hrs.]]*Table1[[#This Row],[P1%]]</f>
        <v>0</v>
      </c>
      <c r="P23" s="3">
        <f>Table1[[#This Row],[Lo Cost Est]]*Table1[[#This Row],[P1%]]</f>
        <v>0</v>
      </c>
      <c r="Q23" s="3">
        <f>Table1[[#This Row],[Hi Cost Est]]*Table1[[#This Row],[P1%]]</f>
        <v>0</v>
      </c>
      <c r="R23">
        <f>Table1[[#This Row],[Lo Hrs.]]*Table1[[#This Row],[P2%]]</f>
        <v>0</v>
      </c>
      <c r="S23">
        <f>Table1[[#This Row],[Hi Hrs.]]*Table1[[#This Row],[P2%]]</f>
        <v>0</v>
      </c>
      <c r="T23" s="3">
        <f>Table1[[#This Row],[Lo Cost Est]]*Table1[[#This Row],[P2%]]</f>
        <v>0</v>
      </c>
      <c r="U23" s="3">
        <f>Table1[[#This Row],[Hi Cost Est]]*Table1[[#This Row],[P2%]]</f>
        <v>0</v>
      </c>
      <c r="V23">
        <f>Table1[[#This Row],[Lo Hrs.]]*Table1[[#This Row],[P3%]]</f>
        <v>0</v>
      </c>
      <c r="W23">
        <f>Table1[[#This Row],[Hi Hrs.]]*Table1[[#This Row],[P3%]]</f>
        <v>0</v>
      </c>
      <c r="X23" s="3">
        <f>Table1[[#This Row],[Lo Cost Est]]*Table1[[#This Row],[P3%]]</f>
        <v>0</v>
      </c>
      <c r="Y23" s="3">
        <f>Table1[[#This Row],[Hi Cost Est]]*Table1[[#This Row],[P3%]]</f>
        <v>0</v>
      </c>
      <c r="Z23" s="171" t="s">
        <v>300</v>
      </c>
      <c r="AA23" s="186"/>
    </row>
    <row r="24" spans="2:27" ht="45.75" customHeight="1" x14ac:dyDescent="0.25">
      <c r="B24" s="102" t="s">
        <v>298</v>
      </c>
      <c r="C24" s="56" t="s">
        <v>70</v>
      </c>
      <c r="D24" s="125"/>
      <c r="E24" s="126">
        <f>IFERROR(INT(ROUNDUP(Table1[[#This Row],[Lo Hrs.]]*(1+VLOOKUP(Table1[[#This Row],[Rate]],'Configuration Table'!A:C,3,FALSE)),0)),0)</f>
        <v>0</v>
      </c>
      <c r="F24" s="3">
        <f>IFERROR(Table1[[#This Row],[Lo Hrs.]]*VLOOKUP(Table1[[#This Row],[Rate]],'Configuration Table'!A:B,2,FALSE),0)</f>
        <v>0</v>
      </c>
      <c r="G24" s="3">
        <f>IFERROR(Table1[[#This Row],[Hi Hrs.]]*VLOOKUP(Table1[[#This Row],[Rate]],'Configuration Table'!A:B,2,FALSE),0)</f>
        <v>0</v>
      </c>
      <c r="H24" t="str">
        <f>IFERROR(VLOOKUP(Table1[[#This Row],[Rate]],'Configuration Table'!A:G,7,FALSE),"")</f>
        <v>Dark Yellow</v>
      </c>
      <c r="I24" t="str">
        <f>IFERROR(VLOOKUP(Table1[[#This Row],[Rate]],'Configuration Table'!A:G,5,FALSE),"")</f>
        <v>Business Analyst</v>
      </c>
      <c r="J24" t="str">
        <f>IFERROR(VLOOKUP(Table1[[#This Row],[Rate]],'Configuration Table'!A:G,6,FALSE),"")</f>
        <v>Business Analysts normally required with projects needing BE development)</v>
      </c>
      <c r="K24" s="53"/>
      <c r="L24" s="111">
        <v>1</v>
      </c>
      <c r="M24" s="53"/>
      <c r="N24">
        <f>Table1[[#This Row],[Lo Hrs.]]*Table1[[#This Row],[P1%]]</f>
        <v>0</v>
      </c>
      <c r="O24">
        <f>Table1[[#This Row],[Hi Hrs.]]*Table1[[#This Row],[P1%]]</f>
        <v>0</v>
      </c>
      <c r="P24" s="3">
        <f>Table1[[#This Row],[Lo Cost Est]]*Table1[[#This Row],[P1%]]</f>
        <v>0</v>
      </c>
      <c r="Q24" s="3">
        <f>Table1[[#This Row],[Hi Cost Est]]*Table1[[#This Row],[P1%]]</f>
        <v>0</v>
      </c>
      <c r="R24">
        <f>Table1[[#This Row],[Lo Hrs.]]*Table1[[#This Row],[P2%]]</f>
        <v>0</v>
      </c>
      <c r="S24">
        <f>Table1[[#This Row],[Hi Hrs.]]*Table1[[#This Row],[P2%]]</f>
        <v>0</v>
      </c>
      <c r="T24" s="3">
        <f>Table1[[#This Row],[Lo Cost Est]]*Table1[[#This Row],[P2%]]</f>
        <v>0</v>
      </c>
      <c r="U24" s="3">
        <f>Table1[[#This Row],[Hi Cost Est]]*Table1[[#This Row],[P2%]]</f>
        <v>0</v>
      </c>
      <c r="V24">
        <f>Table1[[#This Row],[Lo Hrs.]]*Table1[[#This Row],[P3%]]</f>
        <v>0</v>
      </c>
      <c r="W24">
        <f>Table1[[#This Row],[Hi Hrs.]]*Table1[[#This Row],[P3%]]</f>
        <v>0</v>
      </c>
      <c r="X24" s="3">
        <f>Table1[[#This Row],[Lo Cost Est]]*Table1[[#This Row],[P3%]]</f>
        <v>0</v>
      </c>
      <c r="Y24" s="3">
        <f>Table1[[#This Row],[Hi Cost Est]]*Table1[[#This Row],[P3%]]</f>
        <v>0</v>
      </c>
      <c r="Z24" s="171" t="s">
        <v>301</v>
      </c>
      <c r="AA24" s="186"/>
    </row>
    <row r="25" spans="2:27" ht="45.75" customHeight="1" thickBot="1" x14ac:dyDescent="0.3">
      <c r="B25" s="102" t="s">
        <v>63</v>
      </c>
      <c r="C25" s="56" t="s">
        <v>62</v>
      </c>
      <c r="D25" s="125"/>
      <c r="E25" s="126">
        <f>IFERROR(INT(ROUNDUP(Table1[[#This Row],[Lo Hrs.]]*(1+VLOOKUP(Table1[[#This Row],[Rate]],'Configuration Table'!A:C,3,FALSE)),0)),0)</f>
        <v>0</v>
      </c>
      <c r="F25" s="3">
        <f>IFERROR(Table1[[#This Row],[Lo Hrs.]]*VLOOKUP(Table1[[#This Row],[Rate]],'Configuration Table'!A:B,2,FALSE),0)</f>
        <v>0</v>
      </c>
      <c r="G25" s="3">
        <f>IFERROR(Table1[[#This Row],[Hi Hrs.]]*VLOOKUP(Table1[[#This Row],[Rate]],'Configuration Table'!A:B,2,FALSE),0)</f>
        <v>0</v>
      </c>
      <c r="H25" t="str">
        <f>IFERROR(VLOOKUP(Table1[[#This Row],[Rate]],'Configuration Table'!A:G,7,FALSE),"")</f>
        <v>Yellow</v>
      </c>
      <c r="I25" t="str">
        <f>IFERROR(VLOOKUP(Table1[[#This Row],[Rate]],'Configuration Table'!A:G,5,FALSE),"")</f>
        <v>Back End</v>
      </c>
      <c r="J25" t="str">
        <f>IFERROR(VLOOKUP(Table1[[#This Row],[Rate]],'Configuration Table'!A:G,6,FALSE),"")</f>
        <v>Back End Hourly Rate ($175/hr. for post-pay)</v>
      </c>
      <c r="K25" s="53"/>
      <c r="L25" s="111">
        <v>1</v>
      </c>
      <c r="M25" s="53"/>
      <c r="N25">
        <f>Table1[[#This Row],[Lo Hrs.]]*Table1[[#This Row],[P1%]]</f>
        <v>0</v>
      </c>
      <c r="O25">
        <f>Table1[[#This Row],[Hi Hrs.]]*Table1[[#This Row],[P1%]]</f>
        <v>0</v>
      </c>
      <c r="P25" s="3">
        <f>Table1[[#This Row],[Lo Cost Est]]*Table1[[#This Row],[P1%]]</f>
        <v>0</v>
      </c>
      <c r="Q25" s="3">
        <f>Table1[[#This Row],[Hi Cost Est]]*Table1[[#This Row],[P1%]]</f>
        <v>0</v>
      </c>
      <c r="R25">
        <f>Table1[[#This Row],[Lo Hrs.]]*Table1[[#This Row],[P2%]]</f>
        <v>0</v>
      </c>
      <c r="S25">
        <f>Table1[[#This Row],[Hi Hrs.]]*Table1[[#This Row],[P2%]]</f>
        <v>0</v>
      </c>
      <c r="T25" s="3">
        <f>Table1[[#This Row],[Lo Cost Est]]*Table1[[#This Row],[P2%]]</f>
        <v>0</v>
      </c>
      <c r="U25" s="3">
        <f>Table1[[#This Row],[Hi Cost Est]]*Table1[[#This Row],[P2%]]</f>
        <v>0</v>
      </c>
      <c r="V25">
        <f>Table1[[#This Row],[Lo Hrs.]]*Table1[[#This Row],[P3%]]</f>
        <v>0</v>
      </c>
      <c r="W25">
        <f>Table1[[#This Row],[Hi Hrs.]]*Table1[[#This Row],[P3%]]</f>
        <v>0</v>
      </c>
      <c r="X25" s="3">
        <f>Table1[[#This Row],[Lo Cost Est]]*Table1[[#This Row],[P3%]]</f>
        <v>0</v>
      </c>
      <c r="Y25" s="3">
        <f>Table1[[#This Row],[Hi Cost Est]]*Table1[[#This Row],[P3%]]</f>
        <v>0</v>
      </c>
      <c r="Z25" s="103"/>
      <c r="AA25" s="186"/>
    </row>
    <row r="26" spans="2:27" ht="38.25" customHeight="1" x14ac:dyDescent="0.25">
      <c r="B26" s="97" t="s">
        <v>302</v>
      </c>
      <c r="C26" s="112" t="s">
        <v>65</v>
      </c>
      <c r="D26" s="129"/>
      <c r="E26" s="130">
        <f>IFERROR(INT(ROUNDUP(Table1[[#This Row],[Lo Hrs.]]*(1+VLOOKUP(Table1[[#This Row],[Rate]],'Configuration Table'!A:C,3,FALSE)),0)),0)</f>
        <v>0</v>
      </c>
      <c r="F26" s="98">
        <f>IFERROR(Table1[[#This Row],[Lo Hrs.]]*VLOOKUP(Table1[[#This Row],[Rate]],'Configuration Table'!A:B,2,FALSE),0)</f>
        <v>0</v>
      </c>
      <c r="G26" s="98">
        <f>IFERROR(Table1[[#This Row],[Hi Hrs.]]*VLOOKUP(Table1[[#This Row],[Rate]],'Configuration Table'!A:B,2,FALSE),0)</f>
        <v>0</v>
      </c>
      <c r="H26" s="99" t="str">
        <f>IFERROR(VLOOKUP(Table1[[#This Row],[Rate]],'Configuration Table'!A:G,7,FALSE),"")</f>
        <v>Orange</v>
      </c>
      <c r="I26" s="99" t="str">
        <f>IFERROR(VLOOKUP(Table1[[#This Row],[Rate]],'Configuration Table'!A:G,5,FALSE),"")</f>
        <v>Integration</v>
      </c>
      <c r="J26" s="99" t="str">
        <f>IFERROR(VLOOKUP(Table1[[#This Row],[Rate]],'Configuration Table'!A:G,6,FALSE),"")</f>
        <v>Integration Hourly Rate ($175/hr. for post-pay)</v>
      </c>
      <c r="K26" s="100"/>
      <c r="L26" s="100">
        <v>1</v>
      </c>
      <c r="M26" s="100"/>
      <c r="N26" s="99">
        <f>Table1[[#This Row],[Lo Hrs.]]*Table1[[#This Row],[P1%]]</f>
        <v>0</v>
      </c>
      <c r="O26" s="99">
        <f>Table1[[#This Row],[Hi Hrs.]]*Table1[[#This Row],[P1%]]</f>
        <v>0</v>
      </c>
      <c r="P26" s="98">
        <f>Table1[[#This Row],[Lo Cost Est]]*Table1[[#This Row],[P1%]]</f>
        <v>0</v>
      </c>
      <c r="Q26" s="98">
        <f>Table1[[#This Row],[Hi Cost Est]]*Table1[[#This Row],[P1%]]</f>
        <v>0</v>
      </c>
      <c r="R26" s="99">
        <f>Table1[[#This Row],[Lo Hrs.]]*Table1[[#This Row],[P2%]]</f>
        <v>0</v>
      </c>
      <c r="S26" s="99">
        <f>Table1[[#This Row],[Hi Hrs.]]*Table1[[#This Row],[P2%]]</f>
        <v>0</v>
      </c>
      <c r="T26" s="98">
        <f>Table1[[#This Row],[Lo Cost Est]]*Table1[[#This Row],[P2%]]</f>
        <v>0</v>
      </c>
      <c r="U26" s="98">
        <f>Table1[[#This Row],[Hi Cost Est]]*Table1[[#This Row],[P2%]]</f>
        <v>0</v>
      </c>
      <c r="V26" s="99">
        <f>Table1[[#This Row],[Lo Hrs.]]*Table1[[#This Row],[P3%]]</f>
        <v>0</v>
      </c>
      <c r="W26" s="99">
        <f>Table1[[#This Row],[Hi Hrs.]]*Table1[[#This Row],[P3%]]</f>
        <v>0</v>
      </c>
      <c r="X26" s="98">
        <f>Table1[[#This Row],[Lo Cost Est]]*Table1[[#This Row],[P3%]]</f>
        <v>0</v>
      </c>
      <c r="Y26" s="98">
        <f>Table1[[#This Row],[Hi Cost Est]]*Table1[[#This Row],[P3%]]</f>
        <v>0</v>
      </c>
      <c r="Z26" s="101"/>
      <c r="AA26" s="185" t="s">
        <v>66</v>
      </c>
    </row>
    <row r="27" spans="2:27" ht="38.25" customHeight="1" x14ac:dyDescent="0.25">
      <c r="B27" s="102" t="s">
        <v>303</v>
      </c>
      <c r="C27" s="180" t="s">
        <v>65</v>
      </c>
      <c r="D27" s="125"/>
      <c r="E27" s="126">
        <f>IFERROR(INT(ROUNDUP(Table1[[#This Row],[Lo Hrs.]]*(1+VLOOKUP(Table1[[#This Row],[Rate]],'Configuration Table'!A:C,3,FALSE)),0)),0)</f>
        <v>0</v>
      </c>
      <c r="F27" s="3">
        <f>IFERROR(Table1[[#This Row],[Lo Hrs.]]*VLOOKUP(Table1[[#This Row],[Rate]],'Configuration Table'!A:B,2,FALSE),0)</f>
        <v>0</v>
      </c>
      <c r="G27" s="3">
        <f>IFERROR(Table1[[#This Row],[Hi Hrs.]]*VLOOKUP(Table1[[#This Row],[Rate]],'Configuration Table'!A:B,2,FALSE),0)</f>
        <v>0</v>
      </c>
      <c r="H27" s="170" t="str">
        <f>IFERROR(VLOOKUP(Table1[[#This Row],[Rate]],'Configuration Table'!A:G,7,FALSE),"")</f>
        <v>Orange</v>
      </c>
      <c r="I27" s="170" t="str">
        <f>IFERROR(VLOOKUP(Table1[[#This Row],[Rate]],'Configuration Table'!A:G,5,FALSE),"")</f>
        <v>Integration</v>
      </c>
      <c r="J27" s="170" t="str">
        <f>IFERROR(VLOOKUP(Table1[[#This Row],[Rate]],'Configuration Table'!A:G,6,FALSE),"")</f>
        <v>Integration Hourly Rate ($175/hr. for post-pay)</v>
      </c>
      <c r="K27" s="53"/>
      <c r="L27" s="53">
        <v>1</v>
      </c>
      <c r="M27" s="53"/>
      <c r="N27" s="170">
        <f>Table1[[#This Row],[Lo Hrs.]]*Table1[[#This Row],[P1%]]</f>
        <v>0</v>
      </c>
      <c r="O27" s="170">
        <f>Table1[[#This Row],[Hi Hrs.]]*Table1[[#This Row],[P1%]]</f>
        <v>0</v>
      </c>
      <c r="P27" s="3">
        <f>Table1[[#This Row],[Lo Cost Est]]*Table1[[#This Row],[P1%]]</f>
        <v>0</v>
      </c>
      <c r="Q27" s="3">
        <f>Table1[[#This Row],[Hi Cost Est]]*Table1[[#This Row],[P1%]]</f>
        <v>0</v>
      </c>
      <c r="R27" s="170">
        <f>Table1[[#This Row],[Lo Hrs.]]*Table1[[#This Row],[P2%]]</f>
        <v>0</v>
      </c>
      <c r="S27" s="170">
        <f>Table1[[#This Row],[Hi Hrs.]]*Table1[[#This Row],[P2%]]</f>
        <v>0</v>
      </c>
      <c r="T27" s="3">
        <f>Table1[[#This Row],[Lo Cost Est]]*Table1[[#This Row],[P2%]]</f>
        <v>0</v>
      </c>
      <c r="U27" s="3">
        <f>Table1[[#This Row],[Hi Cost Est]]*Table1[[#This Row],[P2%]]</f>
        <v>0</v>
      </c>
      <c r="V27" s="170">
        <f>Table1[[#This Row],[Lo Hrs.]]*Table1[[#This Row],[P3%]]</f>
        <v>0</v>
      </c>
      <c r="W27" s="170">
        <f>Table1[[#This Row],[Hi Hrs.]]*Table1[[#This Row],[P3%]]</f>
        <v>0</v>
      </c>
      <c r="X27" s="3">
        <f>Table1[[#This Row],[Lo Cost Est]]*Table1[[#This Row],[P3%]]</f>
        <v>0</v>
      </c>
      <c r="Y27" s="3">
        <f>Table1[[#This Row],[Hi Cost Est]]*Table1[[#This Row],[P3%]]</f>
        <v>0</v>
      </c>
      <c r="Z27" s="103"/>
      <c r="AA27" s="186"/>
    </row>
    <row r="28" spans="2:27" ht="38.25" customHeight="1" x14ac:dyDescent="0.25">
      <c r="B28" s="102" t="s">
        <v>304</v>
      </c>
      <c r="C28" s="173" t="s">
        <v>65</v>
      </c>
      <c r="D28" s="174"/>
      <c r="E28" s="175">
        <f>IFERROR(INT(ROUNDUP(Table1[[#This Row],[Lo Hrs.]]*(1+VLOOKUP(Table1[[#This Row],[Rate]],'Configuration Table'!A:C,3,FALSE)),0)),0)</f>
        <v>0</v>
      </c>
      <c r="F28" s="176">
        <f>IFERROR(Table1[[#This Row],[Lo Hrs.]]*VLOOKUP(Table1[[#This Row],[Rate]],'Configuration Table'!A:B,2,FALSE),0)</f>
        <v>0</v>
      </c>
      <c r="G28" s="177">
        <f>IFERROR(Table1[[#This Row],[Hi Hrs.]]*VLOOKUP(Table1[[#This Row],[Rate]],'Configuration Table'!A:B,2,FALSE),0)</f>
        <v>0</v>
      </c>
      <c r="H28" s="179" t="str">
        <f>IFERROR(VLOOKUP(Table1[[#This Row],[Rate]],'Configuration Table'!A:G,7,FALSE),"")</f>
        <v>Orange</v>
      </c>
      <c r="I28" s="179" t="str">
        <f>IFERROR(VLOOKUP(Table1[[#This Row],[Rate]],'Configuration Table'!A:G,5,FALSE),"")</f>
        <v>Integration</v>
      </c>
      <c r="J28" s="179" t="str">
        <f>IFERROR(VLOOKUP(Table1[[#This Row],[Rate]],'Configuration Table'!A:G,6,FALSE),"")</f>
        <v>Integration Hourly Rate ($175/hr. for post-pay)</v>
      </c>
      <c r="K28" s="53"/>
      <c r="L28" s="53">
        <v>1</v>
      </c>
      <c r="M28" s="53"/>
      <c r="N28" s="179">
        <f>Table1[[#This Row],[Lo Hrs.]]*Table1[[#This Row],[P1%]]</f>
        <v>0</v>
      </c>
      <c r="O28" s="179">
        <f>Table1[[#This Row],[Hi Hrs.]]*Table1[[#This Row],[P1%]]</f>
        <v>0</v>
      </c>
      <c r="P28" s="177">
        <f>Table1[[#This Row],[Lo Cost Est]]*Table1[[#This Row],[P1%]]</f>
        <v>0</v>
      </c>
      <c r="Q28" s="177">
        <f>Table1[[#This Row],[Hi Cost Est]]*Table1[[#This Row],[P1%]]</f>
        <v>0</v>
      </c>
      <c r="R28" s="179">
        <f>Table1[[#This Row],[Lo Hrs.]]*Table1[[#This Row],[P2%]]</f>
        <v>0</v>
      </c>
      <c r="S28" s="179">
        <f>Table1[[#This Row],[Hi Hrs.]]*Table1[[#This Row],[P2%]]</f>
        <v>0</v>
      </c>
      <c r="T28" s="177">
        <f>Table1[[#This Row],[Lo Cost Est]]*Table1[[#This Row],[P2%]]</f>
        <v>0</v>
      </c>
      <c r="U28" s="177">
        <f>Table1[[#This Row],[Hi Cost Est]]*Table1[[#This Row],[P2%]]</f>
        <v>0</v>
      </c>
      <c r="V28" s="179">
        <f>Table1[[#This Row],[Lo Hrs.]]*Table1[[#This Row],[P3%]]</f>
        <v>0</v>
      </c>
      <c r="W28" s="179">
        <f>Table1[[#This Row],[Hi Hrs.]]*Table1[[#This Row],[P3%]]</f>
        <v>0</v>
      </c>
      <c r="X28" s="177">
        <f>Table1[[#This Row],[Lo Cost Est]]*Table1[[#This Row],[P3%]]</f>
        <v>0</v>
      </c>
      <c r="Y28" s="177">
        <f>Table1[[#This Row],[Hi Cost Est]]*Table1[[#This Row],[P3%]]</f>
        <v>0</v>
      </c>
      <c r="Z28" s="178"/>
      <c r="AA28" s="186"/>
    </row>
    <row r="29" spans="2:27" ht="38.25" customHeight="1" x14ac:dyDescent="0.25">
      <c r="B29" s="102" t="s">
        <v>67</v>
      </c>
      <c r="C29" s="180" t="s">
        <v>65</v>
      </c>
      <c r="D29" s="125"/>
      <c r="E29" s="126">
        <f>IFERROR(INT(ROUNDUP(Table1[[#This Row],[Lo Hrs.]]*(1+VLOOKUP(Table1[[#This Row],[Rate]],'Configuration Table'!A:C,3,FALSE)),0)),0)</f>
        <v>0</v>
      </c>
      <c r="F29" s="3">
        <f>IFERROR(Table1[[#This Row],[Lo Hrs.]]*VLOOKUP(Table1[[#This Row],[Rate]],'Configuration Table'!A:B,2,FALSE),0)</f>
        <v>0</v>
      </c>
      <c r="G29" s="3">
        <f>IFERROR(Table1[[#This Row],[Hi Hrs.]]*VLOOKUP(Table1[[#This Row],[Rate]],'Configuration Table'!A:B,2,FALSE),0)</f>
        <v>0</v>
      </c>
      <c r="H29" s="170" t="str">
        <f>IFERROR(VLOOKUP(Table1[[#This Row],[Rate]],'Configuration Table'!A:G,7,FALSE),"")</f>
        <v>Orange</v>
      </c>
      <c r="I29" s="170" t="str">
        <f>IFERROR(VLOOKUP(Table1[[#This Row],[Rate]],'Configuration Table'!A:G,5,FALSE),"")</f>
        <v>Integration</v>
      </c>
      <c r="J29" s="170" t="str">
        <f>IFERROR(VLOOKUP(Table1[[#This Row],[Rate]],'Configuration Table'!A:G,6,FALSE),"")</f>
        <v>Integration Hourly Rate ($175/hr. for post-pay)</v>
      </c>
      <c r="K29" s="53"/>
      <c r="L29" s="53">
        <v>1</v>
      </c>
      <c r="M29" s="53"/>
      <c r="N29" s="170">
        <f>Table1[[#This Row],[Lo Hrs.]]*Table1[[#This Row],[P1%]]</f>
        <v>0</v>
      </c>
      <c r="O29" s="170">
        <f>Table1[[#This Row],[Hi Hrs.]]*Table1[[#This Row],[P1%]]</f>
        <v>0</v>
      </c>
      <c r="P29" s="3">
        <f>Table1[[#This Row],[Lo Cost Est]]*Table1[[#This Row],[P1%]]</f>
        <v>0</v>
      </c>
      <c r="Q29" s="3">
        <f>Table1[[#This Row],[Hi Cost Est]]*Table1[[#This Row],[P1%]]</f>
        <v>0</v>
      </c>
      <c r="R29" s="170">
        <f>Table1[[#This Row],[Lo Hrs.]]*Table1[[#This Row],[P2%]]</f>
        <v>0</v>
      </c>
      <c r="S29" s="170">
        <f>Table1[[#This Row],[Hi Hrs.]]*Table1[[#This Row],[P2%]]</f>
        <v>0</v>
      </c>
      <c r="T29" s="3">
        <f>Table1[[#This Row],[Lo Cost Est]]*Table1[[#This Row],[P2%]]</f>
        <v>0</v>
      </c>
      <c r="U29" s="3">
        <f>Table1[[#This Row],[Hi Cost Est]]*Table1[[#This Row],[P2%]]</f>
        <v>0</v>
      </c>
      <c r="V29" s="170">
        <f>Table1[[#This Row],[Lo Hrs.]]*Table1[[#This Row],[P3%]]</f>
        <v>0</v>
      </c>
      <c r="W29" s="170">
        <f>Table1[[#This Row],[Hi Hrs.]]*Table1[[#This Row],[P3%]]</f>
        <v>0</v>
      </c>
      <c r="X29" s="3">
        <f>Table1[[#This Row],[Lo Cost Est]]*Table1[[#This Row],[P3%]]</f>
        <v>0</v>
      </c>
      <c r="Y29" s="3">
        <f>Table1[[#This Row],[Hi Cost Est]]*Table1[[#This Row],[P3%]]</f>
        <v>0</v>
      </c>
      <c r="Z29" s="103"/>
      <c r="AA29" s="186"/>
    </row>
    <row r="30" spans="2:27" ht="38.25" customHeight="1" thickBot="1" x14ac:dyDescent="0.3">
      <c r="B30" s="102" t="s">
        <v>68</v>
      </c>
      <c r="C30" s="180" t="s">
        <v>65</v>
      </c>
      <c r="D30" s="125"/>
      <c r="E30" s="126">
        <f>IFERROR(INT(ROUNDUP(Table1[[#This Row],[Lo Hrs.]]*(1+VLOOKUP(Table1[[#This Row],[Rate]],'Configuration Table'!A:C,3,FALSE)),0)),0)</f>
        <v>0</v>
      </c>
      <c r="F30" s="3">
        <f>IFERROR(Table1[[#This Row],[Lo Hrs.]]*VLOOKUP(Table1[[#This Row],[Rate]],'Configuration Table'!A:B,2,FALSE),0)</f>
        <v>0</v>
      </c>
      <c r="G30" s="3">
        <f>IFERROR(Table1[[#This Row],[Hi Hrs.]]*VLOOKUP(Table1[[#This Row],[Rate]],'Configuration Table'!A:B,2,FALSE),0)</f>
        <v>0</v>
      </c>
      <c r="H30" s="170" t="str">
        <f>IFERROR(VLOOKUP(Table1[[#This Row],[Rate]],'Configuration Table'!A:G,7,FALSE),"")</f>
        <v>Orange</v>
      </c>
      <c r="I30" s="170" t="str">
        <f>IFERROR(VLOOKUP(Table1[[#This Row],[Rate]],'Configuration Table'!A:G,5,FALSE),"")</f>
        <v>Integration</v>
      </c>
      <c r="J30" s="170" t="str">
        <f>IFERROR(VLOOKUP(Table1[[#This Row],[Rate]],'Configuration Table'!A:G,6,FALSE),"")</f>
        <v>Integration Hourly Rate ($175/hr. for post-pay)</v>
      </c>
      <c r="K30" s="53"/>
      <c r="L30" s="53">
        <v>1</v>
      </c>
      <c r="M30" s="53"/>
      <c r="N30" s="170">
        <f>Table1[[#This Row],[Lo Hrs.]]*Table1[[#This Row],[P1%]]</f>
        <v>0</v>
      </c>
      <c r="O30" s="170">
        <f>Table1[[#This Row],[Hi Hrs.]]*Table1[[#This Row],[P1%]]</f>
        <v>0</v>
      </c>
      <c r="P30" s="3">
        <f>Table1[[#This Row],[Lo Cost Est]]*Table1[[#This Row],[P1%]]</f>
        <v>0</v>
      </c>
      <c r="Q30" s="3">
        <f>Table1[[#This Row],[Hi Cost Est]]*Table1[[#This Row],[P1%]]</f>
        <v>0</v>
      </c>
      <c r="R30" s="170">
        <f>Table1[[#This Row],[Lo Hrs.]]*Table1[[#This Row],[P2%]]</f>
        <v>0</v>
      </c>
      <c r="S30" s="170">
        <f>Table1[[#This Row],[Hi Hrs.]]*Table1[[#This Row],[P2%]]</f>
        <v>0</v>
      </c>
      <c r="T30" s="3">
        <f>Table1[[#This Row],[Lo Cost Est]]*Table1[[#This Row],[P2%]]</f>
        <v>0</v>
      </c>
      <c r="U30" s="3">
        <f>Table1[[#This Row],[Hi Cost Est]]*Table1[[#This Row],[P2%]]</f>
        <v>0</v>
      </c>
      <c r="V30" s="170">
        <f>Table1[[#This Row],[Lo Hrs.]]*Table1[[#This Row],[P3%]]</f>
        <v>0</v>
      </c>
      <c r="W30" s="170">
        <f>Table1[[#This Row],[Hi Hrs.]]*Table1[[#This Row],[P3%]]</f>
        <v>0</v>
      </c>
      <c r="X30" s="3">
        <f>Table1[[#This Row],[Lo Cost Est]]*Table1[[#This Row],[P3%]]</f>
        <v>0</v>
      </c>
      <c r="Y30" s="3">
        <f>Table1[[#This Row],[Hi Cost Est]]*Table1[[#This Row],[P3%]]</f>
        <v>0</v>
      </c>
      <c r="Z30" s="103"/>
      <c r="AA30" s="186"/>
    </row>
    <row r="31" spans="2:27" ht="54.75" customHeight="1" x14ac:dyDescent="0.25">
      <c r="B31" s="97" t="s">
        <v>71</v>
      </c>
      <c r="C31" s="181" t="s">
        <v>72</v>
      </c>
      <c r="D31" s="182">
        <f>ROUNDUP(SUM(D4:D30)*VLOOKUP(Table1[[#This Row],[Rate]],'Configuration Table'!A:D,4,FALSE),0)</f>
        <v>2</v>
      </c>
      <c r="E31" s="183">
        <f>ROUNDUP(SUM(E4:E30)*VLOOKUP(Table1[[#This Row],[Rate]],'Configuration Table'!A:D,4,FALSE),0)</f>
        <v>2</v>
      </c>
      <c r="F31" s="184">
        <f>IFERROR(Table1[[#This Row],[Lo Hrs.]]*VLOOKUP(Table1[[#This Row],[Rate]],'Configuration Table'!A:B,2,FALSE),0)</f>
        <v>300</v>
      </c>
      <c r="G31" s="98">
        <f>IFERROR(Table1[[#This Row],[Hi Hrs.]]*VLOOKUP(Table1[[#This Row],[Rate]],'Configuration Table'!A:B,2,FALSE),0)</f>
        <v>300</v>
      </c>
      <c r="H31" s="99" t="str">
        <f>IFERROR(VLOOKUP(Table1[[#This Row],[Rate]],'Configuration Table'!A:G,7,FALSE),"")</f>
        <v>Dark Yellow</v>
      </c>
      <c r="I31" s="99" t="str">
        <f>IFERROR(VLOOKUP(Table1[[#This Row],[Rate]],'Configuration Table'!A:G,5,FALSE),"")</f>
        <v>Quality Assurance</v>
      </c>
      <c r="J31" s="99" t="str">
        <f>IFERROR(VLOOKUP(Table1[[#This Row],[Rate]],'Configuration Table'!A:G,6,FALSE),"")</f>
        <v>Quality Assurance (typically 15%, 10% for FE-only projects)</v>
      </c>
      <c r="K31" s="100"/>
      <c r="L31" s="100">
        <v>1</v>
      </c>
      <c r="M31" s="100"/>
      <c r="N31" s="99">
        <f>Table1[[#This Row],[Lo Hrs.]]*Table1[[#This Row],[P1%]]</f>
        <v>0</v>
      </c>
      <c r="O31" s="99">
        <f>Table1[[#This Row],[Hi Hrs.]]*Table1[[#This Row],[P1%]]</f>
        <v>0</v>
      </c>
      <c r="P31" s="98">
        <f>Table1[[#This Row],[Lo Cost Est]]*Table1[[#This Row],[P1%]]</f>
        <v>0</v>
      </c>
      <c r="Q31" s="98">
        <f>Table1[[#This Row],[Hi Cost Est]]*Table1[[#This Row],[P1%]]</f>
        <v>0</v>
      </c>
      <c r="R31" s="99">
        <f>Table1[[#This Row],[Lo Hrs.]]*Table1[[#This Row],[P2%]]</f>
        <v>2</v>
      </c>
      <c r="S31" s="99">
        <f>Table1[[#This Row],[Hi Hrs.]]*Table1[[#This Row],[P2%]]</f>
        <v>2</v>
      </c>
      <c r="T31" s="98">
        <f>Table1[[#This Row],[Lo Cost Est]]*Table1[[#This Row],[P2%]]</f>
        <v>300</v>
      </c>
      <c r="U31" s="98">
        <f>Table1[[#This Row],[Hi Cost Est]]*Table1[[#This Row],[P2%]]</f>
        <v>300</v>
      </c>
      <c r="V31" s="99">
        <f>Table1[[#This Row],[Lo Hrs.]]*Table1[[#This Row],[P3%]]</f>
        <v>0</v>
      </c>
      <c r="W31" s="99">
        <f>Table1[[#This Row],[Hi Hrs.]]*Table1[[#This Row],[P3%]]</f>
        <v>0</v>
      </c>
      <c r="X31" s="98">
        <f>Table1[[#This Row],[Lo Cost Est]]*Table1[[#This Row],[P3%]]</f>
        <v>0</v>
      </c>
      <c r="Y31" s="98">
        <f>Table1[[#This Row],[Hi Cost Est]]*Table1[[#This Row],[P3%]]</f>
        <v>0</v>
      </c>
      <c r="Z31" s="101" t="s">
        <v>73</v>
      </c>
      <c r="AA31" s="185" t="s">
        <v>305</v>
      </c>
    </row>
    <row r="32" spans="2:27" ht="54.75" customHeight="1" x14ac:dyDescent="0.25">
      <c r="B32" s="102" t="s">
        <v>74</v>
      </c>
      <c r="C32" s="180" t="s">
        <v>75</v>
      </c>
      <c r="D32" s="125">
        <f>ROUNDUP(SUM(D3:D30)*VLOOKUP(Table1[[#This Row],[Rate]],'Configuration Table'!A:D,4,FALSE),0)</f>
        <v>1</v>
      </c>
      <c r="E32" s="126">
        <f>ROUNDUP(SUM(E3:E30)*VLOOKUP(Table1[[#This Row],[Rate]],'Configuration Table'!A:D,4,FALSE),0)</f>
        <v>1</v>
      </c>
      <c r="F32" s="3">
        <f>IFERROR(Table1[[#This Row],[Lo Hrs.]]*VLOOKUP(Table1[[#This Row],[Rate]],'Configuration Table'!A:B,2,FALSE),0)</f>
        <v>150</v>
      </c>
      <c r="G32" s="3">
        <f>IFERROR(Table1[[#This Row],[Hi Hrs.]]*VLOOKUP(Table1[[#This Row],[Rate]],'Configuration Table'!A:B,2,FALSE),0)</f>
        <v>150</v>
      </c>
      <c r="H32" s="170" t="str">
        <f>IFERROR(VLOOKUP(Table1[[#This Row],[Rate]],'Configuration Table'!A:G,7,FALSE),"")</f>
        <v>Blue</v>
      </c>
      <c r="I32" s="170" t="str">
        <f>IFERROR(VLOOKUP(Table1[[#This Row],[Rate]],'Configuration Table'!A:G,5,FALSE),"")</f>
        <v>Meetings</v>
      </c>
      <c r="J32" s="170" t="str">
        <f>IFERROR(VLOOKUP(Table1[[#This Row],[Rate]],'Configuration Table'!A:G,6,FALSE),"")</f>
        <v>5-10% based on project size, client (person, team, committee)</v>
      </c>
      <c r="K32" s="53">
        <v>0.3</v>
      </c>
      <c r="L32" s="53">
        <v>0.7</v>
      </c>
      <c r="M32" s="53"/>
      <c r="N32" s="170">
        <f>Table1[[#This Row],[Lo Hrs.]]*Table1[[#This Row],[P1%]]</f>
        <v>0.3</v>
      </c>
      <c r="O32" s="170">
        <f>Table1[[#This Row],[Hi Hrs.]]*Table1[[#This Row],[P1%]]</f>
        <v>0.3</v>
      </c>
      <c r="P32" s="3">
        <f>Table1[[#This Row],[Lo Cost Est]]*Table1[[#This Row],[P1%]]</f>
        <v>45</v>
      </c>
      <c r="Q32" s="3">
        <f>Table1[[#This Row],[Hi Cost Est]]*Table1[[#This Row],[P1%]]</f>
        <v>45</v>
      </c>
      <c r="R32" s="170">
        <f>Table1[[#This Row],[Lo Hrs.]]*Table1[[#This Row],[P2%]]</f>
        <v>0.7</v>
      </c>
      <c r="S32" s="170">
        <f>Table1[[#This Row],[Hi Hrs.]]*Table1[[#This Row],[P2%]]</f>
        <v>0.7</v>
      </c>
      <c r="T32" s="3">
        <f>Table1[[#This Row],[Lo Cost Est]]*Table1[[#This Row],[P2%]]</f>
        <v>105</v>
      </c>
      <c r="U32" s="3">
        <f>Table1[[#This Row],[Hi Cost Est]]*Table1[[#This Row],[P2%]]</f>
        <v>105</v>
      </c>
      <c r="V32" s="170">
        <f>Table1[[#This Row],[Lo Hrs.]]*Table1[[#This Row],[P3%]]</f>
        <v>0</v>
      </c>
      <c r="W32" s="170">
        <f>Table1[[#This Row],[Hi Hrs.]]*Table1[[#This Row],[P3%]]</f>
        <v>0</v>
      </c>
      <c r="X32" s="3">
        <f>Table1[[#This Row],[Lo Cost Est]]*Table1[[#This Row],[P3%]]</f>
        <v>0</v>
      </c>
      <c r="Y32" s="3">
        <f>Table1[[#This Row],[Hi Cost Est]]*Table1[[#This Row],[P3%]]</f>
        <v>0</v>
      </c>
      <c r="Z32" s="103" t="s">
        <v>76</v>
      </c>
      <c r="AA32" s="186"/>
    </row>
    <row r="33" spans="2:27" ht="54.75" customHeight="1" thickBot="1" x14ac:dyDescent="0.3">
      <c r="B33" s="104" t="s">
        <v>77</v>
      </c>
      <c r="C33" s="105" t="s">
        <v>78</v>
      </c>
      <c r="D33" s="127">
        <f>ROUNDUP(SUM(D3:D32)*VLOOKUP(Table1[[#This Row],[Rate]],'Configuration Table'!A:D,4,FALSE),0)</f>
        <v>4</v>
      </c>
      <c r="E33" s="128">
        <f>ROUNDUP(SUM(E3:E32)*VLOOKUP(Table1[[#This Row],[Rate]],'Configuration Table'!A:D,4,FALSE),0)</f>
        <v>4</v>
      </c>
      <c r="F33" s="106">
        <f>IFERROR(Table1[[#This Row],[Lo Hrs.]]*VLOOKUP(Table1[[#This Row],[Rate]],'Configuration Table'!A:B,2,FALSE),0)</f>
        <v>600</v>
      </c>
      <c r="G33" s="106">
        <f>IFERROR(Table1[[#This Row],[Hi Hrs.]]*VLOOKUP(Table1[[#This Row],[Rate]],'Configuration Table'!A:B,2,FALSE),0)</f>
        <v>600</v>
      </c>
      <c r="H33" s="107" t="str">
        <f>IFERROR(VLOOKUP(Table1[[#This Row],[Rate]],'Configuration Table'!A:G,7,FALSE),"")</f>
        <v>Dark Green</v>
      </c>
      <c r="I33" s="107" t="str">
        <f>IFERROR(VLOOKUP(Table1[[#This Row],[Rate]],'Configuration Table'!A:G,5,FALSE),"")</f>
        <v>Project Management</v>
      </c>
      <c r="J33" s="107" t="str">
        <f>IFERROR(VLOOKUP(Table1[[#This Row],[Rate]],'Configuration Table'!A:G,6,FALSE),"")</f>
        <v>Project Management (20% &lt; $75k, 15% &gt; $75k)</v>
      </c>
      <c r="K33" s="108">
        <v>0.3</v>
      </c>
      <c r="L33" s="108">
        <v>0.7</v>
      </c>
      <c r="M33" s="108"/>
      <c r="N33" s="107">
        <f>Table1[[#This Row],[Lo Hrs.]]*Table1[[#This Row],[P1%]]</f>
        <v>1.2</v>
      </c>
      <c r="O33" s="107">
        <f>Table1[[#This Row],[Hi Hrs.]]*Table1[[#This Row],[P1%]]</f>
        <v>1.2</v>
      </c>
      <c r="P33" s="106">
        <f>Table1[[#This Row],[Lo Cost Est]]*Table1[[#This Row],[P1%]]</f>
        <v>180</v>
      </c>
      <c r="Q33" s="106">
        <f>Table1[[#This Row],[Hi Cost Est]]*Table1[[#This Row],[P1%]]</f>
        <v>180</v>
      </c>
      <c r="R33" s="107">
        <f>Table1[[#This Row],[Lo Hrs.]]*Table1[[#This Row],[P2%]]</f>
        <v>2.8</v>
      </c>
      <c r="S33" s="107">
        <f>Table1[[#This Row],[Hi Hrs.]]*Table1[[#This Row],[P2%]]</f>
        <v>2.8</v>
      </c>
      <c r="T33" s="106">
        <f>Table1[[#This Row],[Lo Cost Est]]*Table1[[#This Row],[P2%]]</f>
        <v>420</v>
      </c>
      <c r="U33" s="106">
        <f>Table1[[#This Row],[Hi Cost Est]]*Table1[[#This Row],[P2%]]</f>
        <v>420</v>
      </c>
      <c r="V33" s="107">
        <f>Table1[[#This Row],[Lo Hrs.]]*Table1[[#This Row],[P3%]]</f>
        <v>0</v>
      </c>
      <c r="W33" s="107">
        <f>Table1[[#This Row],[Hi Hrs.]]*Table1[[#This Row],[P3%]]</f>
        <v>0</v>
      </c>
      <c r="X33" s="106">
        <f>Table1[[#This Row],[Lo Cost Est]]*Table1[[#This Row],[P3%]]</f>
        <v>0</v>
      </c>
      <c r="Y33" s="106">
        <f>Table1[[#This Row],[Hi Cost Est]]*Table1[[#This Row],[P3%]]</f>
        <v>0</v>
      </c>
      <c r="Z33" s="109" t="s">
        <v>79</v>
      </c>
      <c r="AA33" s="187"/>
    </row>
    <row r="34" spans="2:27" x14ac:dyDescent="0.25">
      <c r="B34" s="15" t="s">
        <v>80</v>
      </c>
      <c r="C34" s="57"/>
      <c r="D34" s="47">
        <f>SUM(D3:D33)</f>
        <v>20</v>
      </c>
      <c r="E34" s="47">
        <f>SUM(E3:E33)</f>
        <v>20</v>
      </c>
      <c r="F34" s="17">
        <f>SUM(F3:F33)</f>
        <v>10000</v>
      </c>
      <c r="G34" s="17">
        <f>SUM(G3:G33)</f>
        <v>10000</v>
      </c>
      <c r="H34" s="15"/>
      <c r="I34" s="15"/>
      <c r="J34" s="15"/>
      <c r="K34" s="54"/>
      <c r="L34" s="54"/>
      <c r="M34" s="54"/>
      <c r="N34" s="15"/>
      <c r="O34" s="15"/>
      <c r="P34" s="18"/>
      <c r="Q34" s="18"/>
      <c r="R34" s="15"/>
      <c r="S34" s="15"/>
      <c r="T34" s="18"/>
      <c r="U34" s="18"/>
      <c r="V34" s="15"/>
      <c r="W34" s="15"/>
      <c r="X34" s="18"/>
      <c r="Y34" s="18"/>
      <c r="Z34" s="15"/>
    </row>
    <row r="36" spans="2:27" ht="15.75" thickBot="1" x14ac:dyDescent="0.3"/>
    <row r="37" spans="2:27" ht="16.5" thickTop="1" thickBot="1" x14ac:dyDescent="0.3">
      <c r="B37" s="5" t="s">
        <v>81</v>
      </c>
      <c r="C37" s="6"/>
      <c r="D37" s="7" t="s">
        <v>82</v>
      </c>
      <c r="E37" s="8" t="s">
        <v>83</v>
      </c>
    </row>
    <row r="38" spans="2:27" ht="16.5" thickTop="1" thickBot="1" x14ac:dyDescent="0.3">
      <c r="B38" s="2" t="s">
        <v>84</v>
      </c>
      <c r="C38" s="9" t="s">
        <v>85</v>
      </c>
      <c r="D38" s="80">
        <v>150</v>
      </c>
      <c r="E38" s="81">
        <v>150</v>
      </c>
      <c r="F38" s="134"/>
      <c r="G38" s="136" t="s">
        <v>86</v>
      </c>
      <c r="H38" s="137" t="s">
        <v>87</v>
      </c>
      <c r="I38" s="138"/>
      <c r="J38" s="138"/>
      <c r="K38" s="139" t="s">
        <v>88</v>
      </c>
      <c r="L38" s="84"/>
      <c r="Z38" s="198" t="s">
        <v>307</v>
      </c>
    </row>
    <row r="39" spans="2:27" x14ac:dyDescent="0.25">
      <c r="B39" s="2" t="s">
        <v>89</v>
      </c>
      <c r="C39" s="9" t="s">
        <v>90</v>
      </c>
      <c r="D39" s="82">
        <v>150</v>
      </c>
      <c r="E39" s="83">
        <v>150</v>
      </c>
      <c r="G39" s="140">
        <f>ROUNDUP(Summary!F10+Summary!J10,0)</f>
        <v>20</v>
      </c>
      <c r="H39" s="135">
        <f>ROUNDUP(Summary!G12+Summary!K12,0)</f>
        <v>0</v>
      </c>
      <c r="I39" s="135">
        <f>ROUNDUP(Summary!H12+Summary!L12,0)</f>
        <v>0</v>
      </c>
      <c r="J39" s="135">
        <f>ROUNDUP(Summary!I12+Summary!M12,0)</f>
        <v>0</v>
      </c>
      <c r="K39" s="141">
        <f>ROUNDUP(Summary!H10+Summary!L10,0)</f>
        <v>10000</v>
      </c>
      <c r="L39" s="84"/>
      <c r="Z39" s="199"/>
    </row>
    <row r="40" spans="2:27" ht="15.75" thickBot="1" x14ac:dyDescent="0.3">
      <c r="B40" s="92" t="s">
        <v>91</v>
      </c>
      <c r="C40" s="9" t="s">
        <v>92</v>
      </c>
      <c r="D40" s="76">
        <v>150</v>
      </c>
      <c r="E40" s="77">
        <v>150</v>
      </c>
      <c r="G40" s="142">
        <f>ROUNDUP(Summary!G10+Summary!K10,0)</f>
        <v>20</v>
      </c>
      <c r="H40" s="143">
        <f>ROUNDUP(Summary!G13+Summary!K13,0)</f>
        <v>0</v>
      </c>
      <c r="I40" s="143">
        <f>ROUNDUP(Summary!H13+Summary!L13,0)</f>
        <v>0</v>
      </c>
      <c r="J40" s="143">
        <f>ROUNDUP(Summary!I13+Summary!M13,0)</f>
        <v>0</v>
      </c>
      <c r="K40" s="144">
        <f>ROUNDUP(Summary!I10+Summary!M10,0)</f>
        <v>10000</v>
      </c>
      <c r="L40" s="84"/>
      <c r="Z40" s="199"/>
    </row>
    <row r="41" spans="2:27" ht="15.75" thickBot="1" x14ac:dyDescent="0.3">
      <c r="B41" s="2" t="s">
        <v>93</v>
      </c>
      <c r="C41" s="9" t="s">
        <v>65</v>
      </c>
      <c r="D41" s="74">
        <v>150</v>
      </c>
      <c r="E41" s="75">
        <v>150</v>
      </c>
      <c r="G41" s="85"/>
      <c r="H41" s="24"/>
      <c r="I41" s="24"/>
      <c r="J41" s="24"/>
      <c r="K41" s="84"/>
      <c r="L41" s="84"/>
      <c r="Z41" s="200"/>
    </row>
    <row r="42" spans="2:27" ht="15.75" thickBot="1" x14ac:dyDescent="0.3">
      <c r="B42" s="2" t="s">
        <v>94</v>
      </c>
      <c r="C42" s="9" t="s">
        <v>95</v>
      </c>
      <c r="D42" s="10">
        <v>175</v>
      </c>
      <c r="E42" s="11">
        <v>175</v>
      </c>
      <c r="G42" s="145" t="s">
        <v>96</v>
      </c>
      <c r="H42" s="146" t="s">
        <v>87</v>
      </c>
      <c r="I42" s="147"/>
      <c r="J42" s="147"/>
      <c r="K42" s="148" t="s">
        <v>88</v>
      </c>
      <c r="L42" s="84"/>
    </row>
    <row r="43" spans="2:27" ht="15.75" thickTop="1" x14ac:dyDescent="0.25">
      <c r="B43" s="2" t="s">
        <v>77</v>
      </c>
      <c r="C43" s="9" t="s">
        <v>78</v>
      </c>
      <c r="D43" s="13">
        <v>150</v>
      </c>
      <c r="E43" s="14">
        <v>150</v>
      </c>
      <c r="G43" s="149">
        <f>ROUNDUP(Summary!N10,0)</f>
        <v>0</v>
      </c>
      <c r="H43" s="86">
        <f>ROUNDUP(Summary!G16+Summary!K16,0)</f>
        <v>0</v>
      </c>
      <c r="I43" s="86">
        <f>ROUNDUP(Summary!H16+Summary!L16,0)</f>
        <v>0</v>
      </c>
      <c r="J43" s="86">
        <f>ROUNDUP(Summary!I16+Summary!M16,0)</f>
        <v>0</v>
      </c>
      <c r="K43" s="150">
        <f>ROUNDUP(Summary!P10,0)</f>
        <v>0</v>
      </c>
    </row>
    <row r="44" spans="2:27" ht="15.75" thickBot="1" x14ac:dyDescent="0.3">
      <c r="B44" s="2" t="s">
        <v>97</v>
      </c>
      <c r="C44" s="9" t="s">
        <v>26</v>
      </c>
      <c r="D44" s="72">
        <v>3500</v>
      </c>
      <c r="E44" s="73">
        <v>3500</v>
      </c>
      <c r="G44" s="142">
        <f>ROUNDUP(Summary!O10,0)</f>
        <v>0</v>
      </c>
      <c r="H44" s="143">
        <f>ROUNDUP(Summary!G17+Summary!K17,0)</f>
        <v>0</v>
      </c>
      <c r="I44" s="143">
        <f>ROUNDUP(Summary!H17+Summary!L17,0)</f>
        <v>0</v>
      </c>
      <c r="J44" s="143">
        <f>ROUNDUP(Summary!I17+Summary!M17,0)</f>
        <v>0</v>
      </c>
      <c r="K44" s="144">
        <f>ROUNDUP(Summary!Q10,0)</f>
        <v>0</v>
      </c>
    </row>
    <row r="45" spans="2:27" ht="15.75" thickBot="1" x14ac:dyDescent="0.3">
      <c r="B45" s="2" t="s">
        <v>98</v>
      </c>
      <c r="C45" s="9" t="s">
        <v>34</v>
      </c>
      <c r="D45" s="72">
        <v>3500</v>
      </c>
      <c r="E45" s="73">
        <v>3500</v>
      </c>
      <c r="H45" s="4"/>
      <c r="I45" s="4"/>
    </row>
    <row r="46" spans="2:27" ht="15.75" thickBot="1" x14ac:dyDescent="0.3">
      <c r="B46" s="116" t="s">
        <v>99</v>
      </c>
      <c r="C46" s="117"/>
      <c r="D46" s="118"/>
      <c r="E46" s="119"/>
      <c r="H46" s="4"/>
      <c r="I46" s="4"/>
    </row>
    <row r="47" spans="2:27" x14ac:dyDescent="0.25">
      <c r="H47" s="4"/>
      <c r="I47" s="4"/>
    </row>
    <row r="48" spans="2:27" x14ac:dyDescent="0.25">
      <c r="H48" s="4"/>
      <c r="I48" s="4"/>
    </row>
    <row r="49" spans="3:9" x14ac:dyDescent="0.25">
      <c r="H49" s="4"/>
      <c r="I49" s="4"/>
    </row>
    <row r="50" spans="3:9" x14ac:dyDescent="0.25">
      <c r="H50" s="4"/>
      <c r="I50" s="4"/>
    </row>
    <row r="51" spans="3:9" x14ac:dyDescent="0.25">
      <c r="C51" s="4"/>
      <c r="D51" s="9"/>
      <c r="E51" s="9"/>
      <c r="F51" s="12"/>
      <c r="G51" s="12"/>
      <c r="H51" s="4"/>
      <c r="I51" s="4"/>
    </row>
  </sheetData>
  <mergeCells count="8">
    <mergeCell ref="Z38:Z41"/>
    <mergeCell ref="AA31:AA33"/>
    <mergeCell ref="B1:G1"/>
    <mergeCell ref="AA26:AA30"/>
    <mergeCell ref="AA22:AA25"/>
    <mergeCell ref="AA11:AA15"/>
    <mergeCell ref="AA16:AA21"/>
    <mergeCell ref="AA3:AA10"/>
  </mergeCells>
  <phoneticPr fontId="14" type="noConversion"/>
  <conditionalFormatting sqref="D35:E36 D52:E1048576">
    <cfRule type="expression" dxfId="222" priority="1">
      <formula>IF($H35="Dark Yellow",1,0)</formula>
    </cfRule>
    <cfRule type="expression" dxfId="221" priority="2">
      <formula>IF($H35="Dark Green",1,0)</formula>
    </cfRule>
    <cfRule type="expression" dxfId="220" priority="3">
      <formula>IF($H35="Red",1,0)</formula>
    </cfRule>
    <cfRule type="expression" dxfId="219" priority="4">
      <formula>IF($H35="Grey",1,0)</formula>
    </cfRule>
    <cfRule type="expression" dxfId="218" priority="5">
      <formula>IF($H35="Orange",1,0)</formula>
    </cfRule>
    <cfRule type="expression" dxfId="217" priority="6">
      <formula>IF($H35="Green",1,0)</formula>
    </cfRule>
    <cfRule type="expression" dxfId="216" priority="7">
      <formula>IF($H35="Yellow",1,0)</formula>
    </cfRule>
    <cfRule type="expression" dxfId="215" priority="9">
      <formula>IF($H35="Blue",1,0)</formula>
    </cfRule>
  </conditionalFormatting>
  <conditionalFormatting sqref="D34:G34 D2:E33">
    <cfRule type="expression" dxfId="214" priority="34">
      <formula>IF($H2="Dark Yellow",1,0)</formula>
    </cfRule>
    <cfRule type="expression" dxfId="213" priority="35">
      <formula>IF($H2="Dark Green",1,0)</formula>
    </cfRule>
    <cfRule type="expression" dxfId="212" priority="36">
      <formula>IF($H2="Red",1,0)</formula>
    </cfRule>
    <cfRule type="expression" dxfId="211" priority="37">
      <formula>IF($H2="Grey",1,0)</formula>
    </cfRule>
    <cfRule type="expression" dxfId="210" priority="38">
      <formula>IF($H2="Orange",1,0)</formula>
    </cfRule>
    <cfRule type="expression" dxfId="209" priority="39">
      <formula>IF($H2="Green",1,0)</formula>
    </cfRule>
    <cfRule type="expression" dxfId="208" priority="40">
      <formula>IF($H2="Yellow",1,0)</formula>
    </cfRule>
    <cfRule type="expression" dxfId="207" priority="41">
      <formula>IF($H2="Blue",1,0)</formula>
    </cfRule>
  </conditionalFormatting>
  <pageMargins left="0.7" right="0.7" top="0.75" bottom="0.75" header="0.3" footer="0.3"/>
  <pageSetup orientation="portrait" horizontalDpi="1200" verticalDpi="1200" r:id="rId1"/>
  <tableParts count="1">
    <tablePart r:id="rId2"/>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1"/>
  <sheetViews>
    <sheetView zoomScale="150" zoomScaleNormal="150" zoomScalePageLayoutView="150" workbookViewId="0">
      <selection activeCell="E15" sqref="E15"/>
    </sheetView>
  </sheetViews>
  <sheetFormatPr defaultColWidth="2.7109375" defaultRowHeight="15" x14ac:dyDescent="0.25"/>
  <cols>
    <col min="1" max="1" width="19.7109375" bestFit="1" customWidth="1"/>
    <col min="2" max="3" width="3.85546875" bestFit="1" customWidth="1"/>
    <col min="4" max="5" width="9.140625" bestFit="1" customWidth="1"/>
    <col min="6" max="6" width="5.140625" bestFit="1" customWidth="1"/>
    <col min="7" max="7" width="5" bestFit="1" customWidth="1"/>
    <col min="8" max="9" width="7.7109375" bestFit="1" customWidth="1"/>
    <col min="10" max="10" width="5.5703125" bestFit="1" customWidth="1"/>
    <col min="11" max="11" width="5.42578125" bestFit="1" customWidth="1"/>
    <col min="12" max="13" width="8" bestFit="1" customWidth="1"/>
    <col min="14" max="14" width="5.5703125" bestFit="1" customWidth="1"/>
    <col min="15" max="15" width="5.42578125" bestFit="1" customWidth="1"/>
    <col min="16" max="16" width="5.140625" bestFit="1" customWidth="1"/>
    <col min="17" max="17" width="7.7109375" bestFit="1" customWidth="1"/>
  </cols>
  <sheetData>
    <row r="1" spans="1:17" s="62" customFormat="1" ht="36" customHeight="1" thickTop="1" thickBot="1" x14ac:dyDescent="0.3">
      <c r="A1" s="188" t="s">
        <v>100</v>
      </c>
      <c r="B1" s="189"/>
      <c r="C1" s="189"/>
      <c r="D1" s="189"/>
      <c r="E1" s="189"/>
      <c r="F1" s="189"/>
      <c r="G1" s="189"/>
      <c r="H1" s="189"/>
      <c r="I1" s="189"/>
      <c r="J1" s="189"/>
      <c r="K1" s="189"/>
      <c r="L1" s="189"/>
      <c r="M1" s="189"/>
      <c r="N1" s="189"/>
      <c r="O1" s="189"/>
      <c r="P1" s="189"/>
      <c r="Q1" s="191"/>
    </row>
    <row r="2" spans="1:17" s="70" customFormat="1" ht="45.75" hidden="1" thickTop="1" x14ac:dyDescent="0.25">
      <c r="A2" s="89" t="s">
        <v>101</v>
      </c>
      <c r="B2" s="90" t="s">
        <v>102</v>
      </c>
      <c r="C2" s="90" t="s">
        <v>103</v>
      </c>
      <c r="D2" s="90" t="s">
        <v>104</v>
      </c>
      <c r="E2" s="90" t="s">
        <v>83</v>
      </c>
      <c r="F2" s="90" t="s">
        <v>105</v>
      </c>
      <c r="G2" s="90" t="s">
        <v>106</v>
      </c>
      <c r="H2" s="90" t="s">
        <v>107</v>
      </c>
      <c r="I2" s="90" t="s">
        <v>108</v>
      </c>
      <c r="J2" s="90" t="s">
        <v>109</v>
      </c>
      <c r="K2" s="90" t="s">
        <v>110</v>
      </c>
      <c r="L2" s="90" t="s">
        <v>111</v>
      </c>
      <c r="M2" s="90" t="s">
        <v>112</v>
      </c>
      <c r="N2" s="90" t="s">
        <v>113</v>
      </c>
      <c r="O2" s="90" t="s">
        <v>114</v>
      </c>
      <c r="P2" s="90" t="s">
        <v>115</v>
      </c>
      <c r="Q2" s="91" t="s">
        <v>116</v>
      </c>
    </row>
    <row r="3" spans="1:17" ht="15.75" thickTop="1" x14ac:dyDescent="0.25">
      <c r="A3" s="168" t="s">
        <v>117</v>
      </c>
      <c r="B3" s="164">
        <v>13</v>
      </c>
      <c r="C3" s="164">
        <v>13</v>
      </c>
      <c r="D3" s="165">
        <v>1950</v>
      </c>
      <c r="E3" s="167">
        <v>1950</v>
      </c>
      <c r="F3" s="164">
        <v>0</v>
      </c>
      <c r="G3" s="164">
        <v>0</v>
      </c>
      <c r="H3" s="165">
        <v>0</v>
      </c>
      <c r="I3" s="167">
        <v>0</v>
      </c>
      <c r="J3" s="164">
        <v>13</v>
      </c>
      <c r="K3" s="164">
        <v>13</v>
      </c>
      <c r="L3" s="165">
        <v>1950</v>
      </c>
      <c r="M3" s="167">
        <v>1950</v>
      </c>
      <c r="N3" s="164">
        <v>0</v>
      </c>
      <c r="O3" s="164">
        <v>0</v>
      </c>
      <c r="P3" s="165">
        <v>0</v>
      </c>
      <c r="Q3" s="166">
        <v>0</v>
      </c>
    </row>
    <row r="4" spans="1:17" x14ac:dyDescent="0.25">
      <c r="A4" s="168" t="s">
        <v>119</v>
      </c>
      <c r="B4" s="164"/>
      <c r="C4" s="164">
        <v>0</v>
      </c>
      <c r="D4" s="165">
        <v>0</v>
      </c>
      <c r="E4" s="167">
        <v>0</v>
      </c>
      <c r="F4" s="164">
        <v>0</v>
      </c>
      <c r="G4" s="164">
        <v>0</v>
      </c>
      <c r="H4" s="165">
        <v>0</v>
      </c>
      <c r="I4" s="167">
        <v>0</v>
      </c>
      <c r="J4" s="164">
        <v>0</v>
      </c>
      <c r="K4" s="164">
        <v>0</v>
      </c>
      <c r="L4" s="165">
        <v>0</v>
      </c>
      <c r="M4" s="167">
        <v>0</v>
      </c>
      <c r="N4" s="164">
        <v>0</v>
      </c>
      <c r="O4" s="164">
        <v>0</v>
      </c>
      <c r="P4" s="165">
        <v>0</v>
      </c>
      <c r="Q4" s="166">
        <v>0</v>
      </c>
    </row>
    <row r="5" spans="1:17" x14ac:dyDescent="0.25">
      <c r="A5" s="168" t="s">
        <v>120</v>
      </c>
      <c r="B5" s="164"/>
      <c r="C5" s="164"/>
      <c r="D5" s="165">
        <v>7000</v>
      </c>
      <c r="E5" s="167">
        <v>7000</v>
      </c>
      <c r="F5" s="164">
        <v>0</v>
      </c>
      <c r="G5" s="164">
        <v>0</v>
      </c>
      <c r="H5" s="165">
        <v>0</v>
      </c>
      <c r="I5" s="167">
        <v>0</v>
      </c>
      <c r="J5" s="164">
        <v>0</v>
      </c>
      <c r="K5" s="164">
        <v>0</v>
      </c>
      <c r="L5" s="165">
        <v>7000</v>
      </c>
      <c r="M5" s="167">
        <v>7000</v>
      </c>
      <c r="N5" s="164">
        <v>0</v>
      </c>
      <c r="O5" s="164">
        <v>0</v>
      </c>
      <c r="P5" s="165">
        <v>0</v>
      </c>
      <c r="Q5" s="166">
        <v>0</v>
      </c>
    </row>
    <row r="6" spans="1:17" x14ac:dyDescent="0.25">
      <c r="A6" s="168" t="s">
        <v>74</v>
      </c>
      <c r="B6" s="164">
        <v>1</v>
      </c>
      <c r="C6" s="164">
        <v>1</v>
      </c>
      <c r="D6" s="165">
        <v>150</v>
      </c>
      <c r="E6" s="167">
        <v>150</v>
      </c>
      <c r="F6" s="169">
        <v>0.3</v>
      </c>
      <c r="G6" s="169">
        <v>0.3</v>
      </c>
      <c r="H6" s="165">
        <v>45</v>
      </c>
      <c r="I6" s="167">
        <v>45</v>
      </c>
      <c r="J6" s="169">
        <v>0.7</v>
      </c>
      <c r="K6" s="169">
        <v>0.7</v>
      </c>
      <c r="L6" s="165">
        <v>105</v>
      </c>
      <c r="M6" s="167">
        <v>105</v>
      </c>
      <c r="N6" s="164">
        <v>0</v>
      </c>
      <c r="O6" s="164">
        <v>0</v>
      </c>
      <c r="P6" s="165">
        <v>0</v>
      </c>
      <c r="Q6" s="166">
        <v>0</v>
      </c>
    </row>
    <row r="7" spans="1:17" x14ac:dyDescent="0.25">
      <c r="A7" s="168" t="s">
        <v>77</v>
      </c>
      <c r="B7" s="164">
        <v>4</v>
      </c>
      <c r="C7" s="164">
        <v>4</v>
      </c>
      <c r="D7" s="165">
        <v>600</v>
      </c>
      <c r="E7" s="167">
        <v>600</v>
      </c>
      <c r="F7" s="169">
        <v>1.2</v>
      </c>
      <c r="G7" s="169">
        <v>1.2</v>
      </c>
      <c r="H7" s="165">
        <v>180</v>
      </c>
      <c r="I7" s="167">
        <v>180</v>
      </c>
      <c r="J7" s="169">
        <v>2.8</v>
      </c>
      <c r="K7" s="169">
        <v>2.8</v>
      </c>
      <c r="L7" s="165">
        <v>420</v>
      </c>
      <c r="M7" s="167">
        <v>420</v>
      </c>
      <c r="N7" s="164">
        <v>0</v>
      </c>
      <c r="O7" s="164">
        <v>0</v>
      </c>
      <c r="P7" s="165">
        <v>0</v>
      </c>
      <c r="Q7" s="166">
        <v>0</v>
      </c>
    </row>
    <row r="8" spans="1:17" x14ac:dyDescent="0.25">
      <c r="A8" s="168" t="s">
        <v>121</v>
      </c>
      <c r="B8" s="164">
        <v>2</v>
      </c>
      <c r="C8" s="164">
        <v>2</v>
      </c>
      <c r="D8" s="165">
        <v>300</v>
      </c>
      <c r="E8" s="167">
        <v>300</v>
      </c>
      <c r="F8" s="164">
        <v>0</v>
      </c>
      <c r="G8" s="164">
        <v>0</v>
      </c>
      <c r="H8" s="165">
        <v>0</v>
      </c>
      <c r="I8" s="167">
        <v>0</v>
      </c>
      <c r="J8" s="164">
        <v>2</v>
      </c>
      <c r="K8" s="164">
        <v>2</v>
      </c>
      <c r="L8" s="165">
        <v>300</v>
      </c>
      <c r="M8" s="167">
        <v>300</v>
      </c>
      <c r="N8" s="164">
        <v>0</v>
      </c>
      <c r="O8" s="164">
        <v>0</v>
      </c>
      <c r="P8" s="165">
        <v>0</v>
      </c>
      <c r="Q8" s="166">
        <v>0</v>
      </c>
    </row>
    <row r="9" spans="1:17" x14ac:dyDescent="0.25">
      <c r="A9" s="168" t="s">
        <v>122</v>
      </c>
      <c r="B9" s="164"/>
      <c r="C9" s="164">
        <v>0</v>
      </c>
      <c r="D9" s="165">
        <v>0</v>
      </c>
      <c r="E9" s="167">
        <v>0</v>
      </c>
      <c r="F9" s="164">
        <v>0</v>
      </c>
      <c r="G9" s="164">
        <v>0</v>
      </c>
      <c r="H9" s="165">
        <v>0</v>
      </c>
      <c r="I9" s="167">
        <v>0</v>
      </c>
      <c r="J9" s="164">
        <v>0</v>
      </c>
      <c r="K9" s="164">
        <v>0</v>
      </c>
      <c r="L9" s="165">
        <v>0</v>
      </c>
      <c r="M9" s="167">
        <v>0</v>
      </c>
      <c r="N9" s="164">
        <v>0</v>
      </c>
      <c r="O9" s="164">
        <v>0</v>
      </c>
      <c r="P9" s="165">
        <v>0</v>
      </c>
      <c r="Q9" s="166">
        <v>0</v>
      </c>
    </row>
    <row r="10" spans="1:17" ht="15.75" thickBot="1" x14ac:dyDescent="0.3">
      <c r="A10" s="58" t="s">
        <v>123</v>
      </c>
      <c r="B10" s="59">
        <v>20</v>
      </c>
      <c r="C10" s="59">
        <v>20</v>
      </c>
      <c r="D10" s="69">
        <v>10000</v>
      </c>
      <c r="E10" s="69">
        <v>10000</v>
      </c>
      <c r="F10" s="59">
        <v>1.5</v>
      </c>
      <c r="G10" s="59">
        <v>1.5</v>
      </c>
      <c r="H10" s="69">
        <v>225</v>
      </c>
      <c r="I10" s="69">
        <v>225</v>
      </c>
      <c r="J10" s="59">
        <v>18.5</v>
      </c>
      <c r="K10" s="59">
        <v>18.5</v>
      </c>
      <c r="L10" s="69">
        <v>9775</v>
      </c>
      <c r="M10" s="69">
        <v>9775</v>
      </c>
      <c r="N10" s="59">
        <v>0</v>
      </c>
      <c r="O10" s="59">
        <v>0</v>
      </c>
      <c r="P10" s="87">
        <v>0</v>
      </c>
      <c r="Q10" s="88">
        <v>0</v>
      </c>
    </row>
    <row r="11" spans="1:17" s="63" customFormat="1" ht="15.75" thickTop="1" x14ac:dyDescent="0.25">
      <c r="A11"/>
      <c r="B11"/>
      <c r="C11"/>
      <c r="D11"/>
      <c r="E11"/>
      <c r="F11"/>
      <c r="G11"/>
      <c r="H11"/>
      <c r="I11"/>
      <c r="J11"/>
      <c r="K11"/>
      <c r="L11"/>
      <c r="M11"/>
      <c r="N11"/>
      <c r="O11"/>
      <c r="P11"/>
      <c r="Q11"/>
    </row>
    <row r="12" spans="1:17" ht="15.75" thickTop="1" x14ac:dyDescent="0.25"/>
    <row r="13" spans="1:17" ht="15.75" thickBot="1" x14ac:dyDescent="0.3"/>
    <row r="14" spans="1:17" ht="15.75" thickTop="1" x14ac:dyDescent="0.25">
      <c r="A14" s="19"/>
      <c r="B14" s="19"/>
      <c r="C14" s="19"/>
      <c r="D14" s="19"/>
      <c r="E14" s="19"/>
      <c r="F14" s="19"/>
      <c r="G14" s="19"/>
      <c r="H14" s="19"/>
      <c r="I14" s="19"/>
      <c r="J14" s="19"/>
      <c r="K14" s="19"/>
    </row>
    <row r="15" spans="1:17" x14ac:dyDescent="0.25">
      <c r="A15" s="19"/>
      <c r="B15" s="19"/>
      <c r="C15" s="19"/>
      <c r="D15" s="19"/>
      <c r="E15" s="19"/>
      <c r="F15" s="19"/>
      <c r="G15" s="19"/>
      <c r="H15" s="19"/>
      <c r="I15" s="19"/>
      <c r="J15" s="19"/>
      <c r="K15" s="19"/>
    </row>
    <row r="16" spans="1:17" x14ac:dyDescent="0.25">
      <c r="D16" s="61"/>
      <c r="E16" s="61"/>
      <c r="F16" s="61"/>
      <c r="G16" s="61"/>
      <c r="H16" s="61"/>
      <c r="I16" s="61"/>
      <c r="J16" s="61"/>
      <c r="K16" s="61"/>
    </row>
    <row r="17" spans="1:11" x14ac:dyDescent="0.25">
      <c r="D17" s="61"/>
      <c r="E17" s="61"/>
      <c r="F17" s="61"/>
      <c r="G17" s="61"/>
      <c r="H17" s="61"/>
      <c r="I17" s="61"/>
      <c r="J17" s="61"/>
      <c r="K17" s="61"/>
    </row>
    <row r="18" spans="1:11" x14ac:dyDescent="0.25">
      <c r="D18" s="61"/>
      <c r="E18" s="61"/>
      <c r="F18" s="61"/>
      <c r="G18" s="61"/>
      <c r="H18" s="61"/>
      <c r="I18" s="61"/>
      <c r="J18" s="61"/>
      <c r="K18" s="61"/>
    </row>
    <row r="19" spans="1:11" x14ac:dyDescent="0.25">
      <c r="D19" s="61"/>
      <c r="E19" s="61"/>
      <c r="F19" s="61"/>
      <c r="G19" s="61"/>
      <c r="H19" s="61"/>
      <c r="I19" s="61"/>
      <c r="J19" s="61"/>
      <c r="K19" s="61"/>
    </row>
    <row r="20" spans="1:11" x14ac:dyDescent="0.25">
      <c r="D20" s="61"/>
      <c r="E20" s="61"/>
      <c r="F20" s="61"/>
      <c r="G20" s="61"/>
      <c r="H20" s="61"/>
      <c r="I20" s="61"/>
      <c r="J20" s="61"/>
      <c r="K20" s="61"/>
    </row>
    <row r="21" spans="1:11" x14ac:dyDescent="0.25">
      <c r="D21" s="61"/>
      <c r="E21" s="61"/>
      <c r="F21" s="61"/>
      <c r="G21" s="61"/>
      <c r="H21" s="61"/>
      <c r="I21" s="61"/>
      <c r="J21" s="61"/>
      <c r="K21" s="61"/>
    </row>
    <row r="22" spans="1:11" x14ac:dyDescent="0.25">
      <c r="D22" s="61"/>
      <c r="E22" s="61"/>
      <c r="F22" s="61"/>
      <c r="G22" s="61"/>
      <c r="H22" s="61"/>
      <c r="I22" s="61"/>
      <c r="J22" s="61"/>
      <c r="K22" s="61"/>
    </row>
    <row r="23" spans="1:11" x14ac:dyDescent="0.25">
      <c r="D23" s="61"/>
      <c r="E23" s="61"/>
      <c r="F23" s="61"/>
      <c r="G23" s="61"/>
      <c r="H23" s="61"/>
      <c r="I23" s="61"/>
      <c r="J23" s="61"/>
      <c r="K23" s="61"/>
    </row>
    <row r="24" spans="1:11" x14ac:dyDescent="0.25">
      <c r="D24" s="61"/>
      <c r="E24" s="61"/>
      <c r="F24" s="61"/>
      <c r="G24" s="61"/>
      <c r="H24" s="61"/>
      <c r="I24" s="61"/>
      <c r="J24" s="61"/>
      <c r="K24" s="61"/>
    </row>
    <row r="25" spans="1:11" x14ac:dyDescent="0.25">
      <c r="D25" s="61"/>
      <c r="E25" s="61"/>
      <c r="F25" s="61"/>
      <c r="G25" s="61"/>
      <c r="H25" s="61"/>
      <c r="I25" s="61"/>
      <c r="J25" s="61"/>
      <c r="K25" s="61"/>
    </row>
    <row r="26" spans="1:11" x14ac:dyDescent="0.25">
      <c r="D26" s="61"/>
      <c r="E26" s="61"/>
      <c r="F26" s="61"/>
      <c r="G26" s="61"/>
      <c r="H26" s="61"/>
      <c r="I26" s="61"/>
      <c r="J26" s="61"/>
      <c r="K26" s="61"/>
    </row>
    <row r="27" spans="1:11" x14ac:dyDescent="0.25">
      <c r="D27" s="61"/>
      <c r="E27" s="61"/>
      <c r="F27" s="61"/>
      <c r="G27" s="61"/>
      <c r="H27" s="61"/>
      <c r="I27" s="61"/>
      <c r="J27" s="61"/>
      <c r="K27" s="61"/>
    </row>
    <row r="28" spans="1:11" x14ac:dyDescent="0.25">
      <c r="D28" s="61"/>
      <c r="E28" s="61"/>
      <c r="F28" s="61"/>
      <c r="G28" s="61"/>
      <c r="H28" s="61"/>
      <c r="I28" s="61"/>
      <c r="J28" s="61"/>
      <c r="K28" s="61"/>
    </row>
    <row r="29" spans="1:11" x14ac:dyDescent="0.25">
      <c r="A29" s="60"/>
      <c r="D29" s="61"/>
      <c r="E29" s="61"/>
      <c r="F29" s="61"/>
      <c r="G29" s="61"/>
      <c r="H29" s="61"/>
      <c r="I29" s="61"/>
      <c r="J29" s="61"/>
      <c r="K29" s="61"/>
    </row>
    <row r="30" spans="1:11" x14ac:dyDescent="0.25">
      <c r="D30" s="61"/>
      <c r="E30" s="61"/>
      <c r="F30" s="61"/>
      <c r="G30" s="61"/>
      <c r="H30" s="61"/>
      <c r="I30" s="61"/>
      <c r="J30" s="61"/>
      <c r="K30" s="61"/>
    </row>
    <row r="31" spans="1:11" x14ac:dyDescent="0.25">
      <c r="D31" s="61"/>
      <c r="E31" s="61"/>
      <c r="F31" s="61"/>
      <c r="G31" s="61"/>
      <c r="H31" s="61"/>
      <c r="I31" s="61"/>
      <c r="J31" s="61"/>
      <c r="K31" s="61"/>
    </row>
  </sheetData>
  <mergeCells count="1">
    <mergeCell ref="A1:Q1"/>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7"/>
  <sheetViews>
    <sheetView zoomScale="200" zoomScaleNormal="200" zoomScalePageLayoutView="200" workbookViewId="0">
      <selection activeCell="G11" sqref="G11"/>
    </sheetView>
  </sheetViews>
  <sheetFormatPr defaultColWidth="8.85546875" defaultRowHeight="15" x14ac:dyDescent="0.25"/>
  <cols>
    <col min="2" max="2" width="15" hidden="1" customWidth="1"/>
    <col min="3" max="3" width="15" bestFit="1" customWidth="1"/>
    <col min="4" max="4" width="7.85546875" bestFit="1" customWidth="1"/>
    <col min="5" max="5" width="17.28515625" hidden="1" customWidth="1"/>
    <col min="6" max="6" width="7.85546875" customWidth="1"/>
    <col min="7" max="7" width="14.7109375" customWidth="1"/>
    <col min="8" max="8" width="9.28515625" customWidth="1"/>
    <col min="9" max="9" width="7.85546875" hidden="1" customWidth="1"/>
    <col min="10" max="10" width="6.7109375" customWidth="1"/>
    <col min="11" max="20" width="3" customWidth="1"/>
    <col min="21" max="21" width="0" hidden="1" customWidth="1"/>
    <col min="22" max="23" width="3" customWidth="1"/>
    <col min="24" max="24" width="11.28515625" bestFit="1" customWidth="1"/>
  </cols>
  <sheetData>
    <row r="1" spans="1:21" ht="15" customHeight="1" x14ac:dyDescent="0.25">
      <c r="A1" s="192" t="str">
        <f>CONCATENATE("Based on the current cost estimate for your project we are currently recommending ",U4, " weeks of UAT testing by your team.")</f>
        <v>Based on the current cost estimate for your project we are currently recommending 1 weeks of UAT testing by your team.</v>
      </c>
      <c r="B1" s="192"/>
      <c r="C1" s="192"/>
      <c r="D1" s="192"/>
      <c r="E1" s="192"/>
      <c r="F1" s="192"/>
      <c r="U1">
        <f>GETPIVOTDATA("Cost",$B$5)/50000</f>
        <v>0.20004</v>
      </c>
    </row>
    <row r="2" spans="1:21" x14ac:dyDescent="0.25">
      <c r="A2" s="192"/>
      <c r="B2" s="192"/>
      <c r="C2" s="192"/>
      <c r="D2" s="192"/>
      <c r="E2" s="192"/>
      <c r="F2" s="192"/>
      <c r="U2">
        <f>IF(U1&gt;4,4,U1)</f>
        <v>0.20004</v>
      </c>
    </row>
    <row r="3" spans="1:21" x14ac:dyDescent="0.25">
      <c r="A3" s="192"/>
      <c r="B3" s="192"/>
      <c r="C3" s="192"/>
      <c r="D3" s="192"/>
      <c r="E3" s="192"/>
      <c r="F3" s="192"/>
      <c r="U3">
        <f>IF(U2&lt;1,1,U2)</f>
        <v>1</v>
      </c>
    </row>
    <row r="4" spans="1:21" ht="36" customHeight="1" thickBot="1" x14ac:dyDescent="0.3">
      <c r="C4" s="193" t="s">
        <v>124</v>
      </c>
      <c r="D4" s="193"/>
      <c r="E4" s="65"/>
      <c r="G4" s="194"/>
      <c r="H4" s="194"/>
      <c r="U4">
        <f>ROUNDUP(U3,1)</f>
        <v>1</v>
      </c>
    </row>
    <row r="5" spans="1:21" ht="15.75" hidden="1" thickTop="1" x14ac:dyDescent="0.25">
      <c r="B5" s="35" t="s">
        <v>125</v>
      </c>
      <c r="C5" s="66"/>
      <c r="D5" s="66"/>
    </row>
    <row r="6" spans="1:21" ht="15.75" thickTop="1" x14ac:dyDescent="0.25">
      <c r="B6" s="64" t="s">
        <v>126</v>
      </c>
      <c r="C6" s="93" t="s">
        <v>127</v>
      </c>
      <c r="D6" s="78" t="s">
        <v>128</v>
      </c>
      <c r="G6" s="19"/>
      <c r="H6" s="19"/>
    </row>
    <row r="7" spans="1:21" x14ac:dyDescent="0.25">
      <c r="B7" s="2">
        <v>5</v>
      </c>
      <c r="C7" s="170" t="s">
        <v>129</v>
      </c>
      <c r="D7" s="67">
        <v>2670</v>
      </c>
      <c r="H7" s="96"/>
      <c r="I7">
        <v>1</v>
      </c>
    </row>
    <row r="8" spans="1:21" x14ac:dyDescent="0.25">
      <c r="B8" s="2">
        <v>6</v>
      </c>
      <c r="C8" s="170" t="s">
        <v>130</v>
      </c>
      <c r="D8" s="67">
        <v>4888</v>
      </c>
      <c r="H8" s="96"/>
      <c r="I8">
        <v>1.8779999999999999</v>
      </c>
    </row>
    <row r="9" spans="1:21" x14ac:dyDescent="0.25">
      <c r="B9" s="2">
        <v>7</v>
      </c>
      <c r="C9" s="170" t="s">
        <v>131</v>
      </c>
      <c r="D9" s="67">
        <v>2444</v>
      </c>
      <c r="H9" s="96"/>
      <c r="I9">
        <v>2.6549999999999998</v>
      </c>
    </row>
    <row r="10" spans="1:21" ht="15.75" thickBot="1" x14ac:dyDescent="0.3">
      <c r="B10" s="68" t="s">
        <v>123</v>
      </c>
      <c r="C10" s="94"/>
      <c r="D10" s="95">
        <v>10002</v>
      </c>
    </row>
    <row r="11" spans="1:21" ht="15.75" thickTop="1" x14ac:dyDescent="0.25"/>
    <row r="12" spans="1:21" ht="15.75" thickTop="1" x14ac:dyDescent="0.25"/>
    <row r="13" spans="1:21" ht="15.75" thickTop="1" x14ac:dyDescent="0.25"/>
    <row r="14" spans="1:21" ht="15.75" thickTop="1" x14ac:dyDescent="0.25"/>
    <row r="16" spans="1:21" ht="15.75" thickTop="1" x14ac:dyDescent="0.25"/>
    <row r="17" ht="15.75" thickTop="1" x14ac:dyDescent="0.25"/>
    <row r="23" ht="15.75" thickBot="1" x14ac:dyDescent="0.3"/>
    <row r="24" ht="15.75" thickTop="1" x14ac:dyDescent="0.25"/>
    <row r="26" ht="15.75" thickBot="1" x14ac:dyDescent="0.3"/>
    <row r="27" ht="15.75" thickTop="1" x14ac:dyDescent="0.25"/>
  </sheetData>
  <mergeCells count="3">
    <mergeCell ref="A1:F3"/>
    <mergeCell ref="C4:D4"/>
    <mergeCell ref="G4:H4"/>
  </mergeCell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5"/>
  <sheetViews>
    <sheetView workbookViewId="0">
      <selection activeCell="E25" sqref="E25"/>
    </sheetView>
  </sheetViews>
  <sheetFormatPr defaultColWidth="8.85546875" defaultRowHeight="15" x14ac:dyDescent="0.25"/>
  <cols>
    <col min="1" max="1" width="11.140625" bestFit="1" customWidth="1"/>
    <col min="2" max="2" width="12.140625" bestFit="1" customWidth="1"/>
  </cols>
  <sheetData>
    <row r="1" spans="1:2" x14ac:dyDescent="0.25">
      <c r="A1" t="s">
        <v>132</v>
      </c>
      <c r="B1" t="s">
        <v>133</v>
      </c>
    </row>
    <row r="2" spans="1:2" x14ac:dyDescent="0.25">
      <c r="A2">
        <v>1</v>
      </c>
      <c r="B2" t="s">
        <v>134</v>
      </c>
    </row>
    <row r="3" spans="1:2" x14ac:dyDescent="0.25">
      <c r="A3">
        <v>2</v>
      </c>
      <c r="B3" t="s">
        <v>135</v>
      </c>
    </row>
    <row r="4" spans="1:2" x14ac:dyDescent="0.25">
      <c r="A4">
        <v>3</v>
      </c>
      <c r="B4" t="s">
        <v>136</v>
      </c>
    </row>
    <row r="5" spans="1:2" x14ac:dyDescent="0.25">
      <c r="A5">
        <v>4</v>
      </c>
      <c r="B5" t="s">
        <v>137</v>
      </c>
    </row>
    <row r="6" spans="1:2" x14ac:dyDescent="0.25">
      <c r="A6">
        <v>5</v>
      </c>
      <c r="B6" t="s">
        <v>129</v>
      </c>
    </row>
    <row r="7" spans="1:2" x14ac:dyDescent="0.25">
      <c r="A7">
        <v>6</v>
      </c>
      <c r="B7" t="s">
        <v>130</v>
      </c>
    </row>
    <row r="8" spans="1:2" x14ac:dyDescent="0.25">
      <c r="A8">
        <v>7</v>
      </c>
      <c r="B8" t="s">
        <v>131</v>
      </c>
    </row>
    <row r="9" spans="1:2" x14ac:dyDescent="0.25">
      <c r="A9">
        <v>8</v>
      </c>
      <c r="B9" t="s">
        <v>138</v>
      </c>
    </row>
    <row r="10" spans="1:2" x14ac:dyDescent="0.25">
      <c r="A10">
        <v>9</v>
      </c>
      <c r="B10" t="s">
        <v>139</v>
      </c>
    </row>
    <row r="11" spans="1:2" x14ac:dyDescent="0.25">
      <c r="A11">
        <v>10</v>
      </c>
      <c r="B11" t="s">
        <v>140</v>
      </c>
    </row>
    <row r="12" spans="1:2" x14ac:dyDescent="0.25">
      <c r="A12">
        <v>11</v>
      </c>
      <c r="B12" t="s">
        <v>141</v>
      </c>
    </row>
    <row r="13" spans="1:2" x14ac:dyDescent="0.25">
      <c r="A13">
        <v>12</v>
      </c>
      <c r="B13" t="s">
        <v>142</v>
      </c>
    </row>
    <row r="14" spans="1:2" x14ac:dyDescent="0.25">
      <c r="A14">
        <v>13</v>
      </c>
      <c r="B14" t="s">
        <v>134</v>
      </c>
    </row>
    <row r="15" spans="1:2" x14ac:dyDescent="0.25">
      <c r="A15">
        <v>14</v>
      </c>
      <c r="B15" t="s">
        <v>135</v>
      </c>
    </row>
    <row r="16" spans="1:2" x14ac:dyDescent="0.25">
      <c r="A16">
        <v>15</v>
      </c>
      <c r="B16" t="s">
        <v>136</v>
      </c>
    </row>
    <row r="17" spans="1:2" x14ac:dyDescent="0.25">
      <c r="A17">
        <v>16</v>
      </c>
      <c r="B17" t="s">
        <v>137</v>
      </c>
    </row>
    <row r="18" spans="1:2" x14ac:dyDescent="0.25">
      <c r="A18">
        <v>17</v>
      </c>
      <c r="B18" t="s">
        <v>129</v>
      </c>
    </row>
    <row r="19" spans="1:2" x14ac:dyDescent="0.25">
      <c r="A19">
        <v>18</v>
      </c>
      <c r="B19" t="s">
        <v>130</v>
      </c>
    </row>
    <row r="20" spans="1:2" x14ac:dyDescent="0.25">
      <c r="A20">
        <v>19</v>
      </c>
      <c r="B20" t="s">
        <v>131</v>
      </c>
    </row>
    <row r="21" spans="1:2" x14ac:dyDescent="0.25">
      <c r="A21">
        <v>20</v>
      </c>
      <c r="B21" t="s">
        <v>138</v>
      </c>
    </row>
    <row r="22" spans="1:2" x14ac:dyDescent="0.25">
      <c r="A22">
        <v>21</v>
      </c>
      <c r="B22" t="s">
        <v>139</v>
      </c>
    </row>
    <row r="23" spans="1:2" x14ac:dyDescent="0.25">
      <c r="A23">
        <v>22</v>
      </c>
      <c r="B23" t="s">
        <v>140</v>
      </c>
    </row>
    <row r="24" spans="1:2" x14ac:dyDescent="0.25">
      <c r="A24">
        <v>23</v>
      </c>
      <c r="B24" t="s">
        <v>141</v>
      </c>
    </row>
    <row r="25" spans="1:2" x14ac:dyDescent="0.25">
      <c r="A25">
        <v>24</v>
      </c>
      <c r="B25" t="s">
        <v>142</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86"/>
  <sheetViews>
    <sheetView zoomScale="150" zoomScaleNormal="150" zoomScalePageLayoutView="150" workbookViewId="0">
      <selection activeCell="G6" sqref="G6"/>
    </sheetView>
  </sheetViews>
  <sheetFormatPr defaultColWidth="8.85546875" defaultRowHeight="15" x14ac:dyDescent="0.25"/>
  <cols>
    <col min="2" max="2" width="16.42578125" customWidth="1"/>
    <col min="3" max="3" width="11" bestFit="1" customWidth="1"/>
    <col min="4" max="4" width="16.42578125" bestFit="1" customWidth="1"/>
    <col min="5" max="5" width="14" bestFit="1" customWidth="1"/>
    <col min="10" max="10" width="14" bestFit="1" customWidth="1"/>
    <col min="11" max="13" width="9.85546875" hidden="1" customWidth="1"/>
    <col min="14" max="16" width="12.28515625" style="1" customWidth="1"/>
    <col min="17" max="17" width="10.5703125" style="1" customWidth="1"/>
  </cols>
  <sheetData>
    <row r="1" spans="1:17" x14ac:dyDescent="0.25">
      <c r="B1" s="15" t="s">
        <v>143</v>
      </c>
      <c r="C1" s="15" t="s">
        <v>308</v>
      </c>
      <c r="D1" s="19" t="s">
        <v>144</v>
      </c>
      <c r="E1" s="19" t="s">
        <v>145</v>
      </c>
      <c r="K1">
        <f>C3+1</f>
        <v>3</v>
      </c>
      <c r="L1">
        <f>C4+1</f>
        <v>7</v>
      </c>
      <c r="M1">
        <f>C5+1</f>
        <v>1</v>
      </c>
    </row>
    <row r="2" spans="1:17" x14ac:dyDescent="0.25">
      <c r="B2" s="15"/>
      <c r="C2" s="15" t="s">
        <v>146</v>
      </c>
      <c r="D2" s="15" t="s">
        <v>147</v>
      </c>
      <c r="E2" s="15" t="s">
        <v>148</v>
      </c>
      <c r="H2" s="15" t="s">
        <v>149</v>
      </c>
      <c r="I2" s="15" t="s">
        <v>126</v>
      </c>
      <c r="J2" s="15" t="s">
        <v>127</v>
      </c>
      <c r="K2" s="15" t="s">
        <v>150</v>
      </c>
      <c r="L2" s="15" t="s">
        <v>151</v>
      </c>
      <c r="M2" s="15" t="s">
        <v>152</v>
      </c>
      <c r="N2" s="120" t="s">
        <v>153</v>
      </c>
      <c r="O2" s="120" t="s">
        <v>154</v>
      </c>
      <c r="P2" s="120" t="s">
        <v>155</v>
      </c>
      <c r="Q2" s="120" t="s">
        <v>147</v>
      </c>
    </row>
    <row r="3" spans="1:17" x14ac:dyDescent="0.25">
      <c r="B3" s="24" t="s">
        <v>156</v>
      </c>
      <c r="C3" s="131">
        <v>2</v>
      </c>
      <c r="D3" s="85">
        <f>GETPIVOTDATA("Phase 1 Hi",Summary!$A$2)</f>
        <v>225</v>
      </c>
      <c r="E3" s="85">
        <f>IFERROR(ROUNDUP(D3/C3,0),0)</f>
        <v>113</v>
      </c>
      <c r="H3" t="s">
        <v>157</v>
      </c>
      <c r="I3">
        <f>INT($C$1)</f>
        <v>7</v>
      </c>
      <c r="J3" t="str">
        <f>VLOOKUP(Table2[[#This Row],[Month]],MonthLookup!A:B,2,FALSE)</f>
        <v>July</v>
      </c>
      <c r="K3">
        <f>IF(NOT(K1=0),K1-1,0)</f>
        <v>2</v>
      </c>
      <c r="L3">
        <f>IF(K3=0,L1-1,$L$1)</f>
        <v>7</v>
      </c>
      <c r="M3">
        <f>IF(L3&lt;=0,M1-1,$M$1)</f>
        <v>1</v>
      </c>
      <c r="N3" s="1">
        <f t="shared" ref="N3:N67" si="0">IF(K3&gt;0,$E$3,0)</f>
        <v>113</v>
      </c>
      <c r="Q3" s="1">
        <f>SUM(N3:P3)</f>
        <v>113</v>
      </c>
    </row>
    <row r="4" spans="1:17" x14ac:dyDescent="0.25">
      <c r="B4" s="24" t="s">
        <v>158</v>
      </c>
      <c r="C4" s="131">
        <v>6</v>
      </c>
      <c r="D4" s="85">
        <f>GETPIVOTDATA("Phase 2 Hi",Summary!$A$2)</f>
        <v>9775</v>
      </c>
      <c r="E4" s="85">
        <f>IFERROR(ROUNDUP(D4/C4,0),0)</f>
        <v>1630</v>
      </c>
      <c r="H4" t="s">
        <v>159</v>
      </c>
      <c r="I4">
        <f t="shared" ref="I4:I6" si="1">INT($C$1)</f>
        <v>7</v>
      </c>
      <c r="J4" t="str">
        <f>VLOOKUP(Table2[[#This Row],[Month]],MonthLookup!A:B,2,FALSE)</f>
        <v>July</v>
      </c>
      <c r="K4">
        <f t="shared" ref="K4:K67" si="2">IF(NOT(K3=0),K3-1,0)</f>
        <v>1</v>
      </c>
      <c r="L4">
        <f t="shared" ref="L4:L35" si="3">IF(K4=0,L3-1,$L$1)</f>
        <v>7</v>
      </c>
      <c r="M4">
        <f t="shared" ref="M4:M35" si="4">IF(L4&lt;=0,M3-1,$M$1)</f>
        <v>1</v>
      </c>
      <c r="N4" s="1">
        <f t="shared" si="0"/>
        <v>113</v>
      </c>
      <c r="Q4" s="1">
        <f t="shared" ref="Q4:Q67" si="5">SUM(N4:P4)</f>
        <v>113</v>
      </c>
    </row>
    <row r="5" spans="1:17" x14ac:dyDescent="0.25">
      <c r="B5" s="24" t="s">
        <v>160</v>
      </c>
      <c r="C5" s="131"/>
      <c r="D5" s="85">
        <f>GETPIVOTDATA("Phase 3 Hi",Summary!$A$2)</f>
        <v>0</v>
      </c>
      <c r="E5" s="85">
        <f>IFERROR(ROUNDUP(D5/C5,0),0)</f>
        <v>0</v>
      </c>
      <c r="H5" t="s">
        <v>161</v>
      </c>
      <c r="I5">
        <f t="shared" si="1"/>
        <v>7</v>
      </c>
      <c r="J5" t="str">
        <f>VLOOKUP(Table2[[#This Row],[Month]],MonthLookup!A:B,2,FALSE)</f>
        <v>July</v>
      </c>
      <c r="K5">
        <f t="shared" si="2"/>
        <v>0</v>
      </c>
      <c r="L5">
        <f t="shared" si="3"/>
        <v>6</v>
      </c>
      <c r="M5">
        <f t="shared" si="4"/>
        <v>1</v>
      </c>
      <c r="N5" s="1">
        <f t="shared" si="0"/>
        <v>0</v>
      </c>
      <c r="O5" s="1">
        <f t="shared" ref="O5:O67" si="6">IF(AND(L5&gt;0,NOT(L5=L4)),$E$4,0)</f>
        <v>1630</v>
      </c>
      <c r="P5" s="1">
        <f t="shared" ref="P5:P67" si="7">IF(AND(M5&gt;0,NOT(M5=M4)),$E$5,0)</f>
        <v>0</v>
      </c>
      <c r="Q5" s="1">
        <f t="shared" si="5"/>
        <v>1630</v>
      </c>
    </row>
    <row r="6" spans="1:17" x14ac:dyDescent="0.25">
      <c r="H6" t="s">
        <v>162</v>
      </c>
      <c r="I6">
        <f t="shared" si="1"/>
        <v>7</v>
      </c>
      <c r="J6" t="str">
        <f>VLOOKUP(Table2[[#This Row],[Month]],MonthLookup!A:B,2,FALSE)</f>
        <v>July</v>
      </c>
      <c r="K6">
        <f t="shared" si="2"/>
        <v>0</v>
      </c>
      <c r="L6">
        <f t="shared" si="3"/>
        <v>5</v>
      </c>
      <c r="M6">
        <f t="shared" si="4"/>
        <v>1</v>
      </c>
      <c r="N6" s="1">
        <f t="shared" si="0"/>
        <v>0</v>
      </c>
      <c r="O6" s="1">
        <f t="shared" si="6"/>
        <v>1630</v>
      </c>
      <c r="P6" s="1">
        <f t="shared" si="7"/>
        <v>0</v>
      </c>
      <c r="Q6" s="1">
        <f t="shared" si="5"/>
        <v>1630</v>
      </c>
    </row>
    <row r="7" spans="1:17" x14ac:dyDescent="0.25">
      <c r="H7" t="s">
        <v>163</v>
      </c>
      <c r="I7">
        <f>I3+1</f>
        <v>8</v>
      </c>
      <c r="J7" t="str">
        <f>VLOOKUP(Table2[[#This Row],[Month]],MonthLookup!A:B,2,FALSE)</f>
        <v>August</v>
      </c>
      <c r="K7">
        <f t="shared" si="2"/>
        <v>0</v>
      </c>
      <c r="L7">
        <f t="shared" si="3"/>
        <v>4</v>
      </c>
      <c r="M7">
        <f t="shared" si="4"/>
        <v>1</v>
      </c>
      <c r="N7" s="1">
        <f t="shared" si="0"/>
        <v>0</v>
      </c>
      <c r="O7" s="1">
        <f t="shared" si="6"/>
        <v>1630</v>
      </c>
      <c r="P7" s="1">
        <f t="shared" si="7"/>
        <v>0</v>
      </c>
      <c r="Q7" s="1">
        <f t="shared" si="5"/>
        <v>1630</v>
      </c>
    </row>
    <row r="8" spans="1:17" x14ac:dyDescent="0.25">
      <c r="H8" t="s">
        <v>164</v>
      </c>
      <c r="I8">
        <f t="shared" ref="I8:I71" si="8">I4+1</f>
        <v>8</v>
      </c>
      <c r="J8" t="str">
        <f>VLOOKUP(Table2[[#This Row],[Month]],MonthLookup!A:B,2,FALSE)</f>
        <v>August</v>
      </c>
      <c r="K8">
        <f t="shared" si="2"/>
        <v>0</v>
      </c>
      <c r="L8">
        <f t="shared" si="3"/>
        <v>3</v>
      </c>
      <c r="M8">
        <f t="shared" si="4"/>
        <v>1</v>
      </c>
      <c r="N8" s="1">
        <f t="shared" si="0"/>
        <v>0</v>
      </c>
      <c r="O8" s="1">
        <f t="shared" si="6"/>
        <v>1630</v>
      </c>
      <c r="P8" s="1">
        <f t="shared" si="7"/>
        <v>0</v>
      </c>
      <c r="Q8" s="1">
        <f t="shared" si="5"/>
        <v>1630</v>
      </c>
    </row>
    <row r="9" spans="1:17" x14ac:dyDescent="0.25">
      <c r="B9" s="19" t="s">
        <v>144</v>
      </c>
      <c r="C9" s="19" t="s">
        <v>145</v>
      </c>
      <c r="D9" s="19" t="s">
        <v>165</v>
      </c>
      <c r="E9" s="19" t="s">
        <v>166</v>
      </c>
      <c r="H9" t="s">
        <v>167</v>
      </c>
      <c r="I9">
        <f t="shared" si="8"/>
        <v>8</v>
      </c>
      <c r="J9" t="str">
        <f>VLOOKUP(Table2[[#This Row],[Month]],MonthLookup!A:B,2,FALSE)</f>
        <v>August</v>
      </c>
      <c r="K9">
        <f t="shared" si="2"/>
        <v>0</v>
      </c>
      <c r="L9">
        <f t="shared" si="3"/>
        <v>2</v>
      </c>
      <c r="M9">
        <f t="shared" si="4"/>
        <v>1</v>
      </c>
      <c r="N9" s="1">
        <f t="shared" si="0"/>
        <v>0</v>
      </c>
      <c r="O9" s="1">
        <f t="shared" si="6"/>
        <v>1630</v>
      </c>
      <c r="P9" s="1">
        <f t="shared" si="7"/>
        <v>0</v>
      </c>
      <c r="Q9" s="1">
        <f t="shared" si="5"/>
        <v>1630</v>
      </c>
    </row>
    <row r="10" spans="1:17" x14ac:dyDescent="0.25">
      <c r="B10" s="15" t="s">
        <v>168</v>
      </c>
      <c r="C10" s="15" t="s">
        <v>169</v>
      </c>
      <c r="D10" s="15"/>
      <c r="E10" s="15"/>
      <c r="H10" t="s">
        <v>170</v>
      </c>
      <c r="I10">
        <f t="shared" si="8"/>
        <v>8</v>
      </c>
      <c r="J10" t="str">
        <f>VLOOKUP(Table2[[#This Row],[Month]],MonthLookup!A:B,2,FALSE)</f>
        <v>August</v>
      </c>
      <c r="K10">
        <f t="shared" si="2"/>
        <v>0</v>
      </c>
      <c r="L10">
        <f t="shared" si="3"/>
        <v>1</v>
      </c>
      <c r="M10">
        <f t="shared" si="4"/>
        <v>1</v>
      </c>
      <c r="N10" s="1">
        <f t="shared" si="0"/>
        <v>0</v>
      </c>
      <c r="O10" s="1">
        <f t="shared" si="6"/>
        <v>1630</v>
      </c>
      <c r="P10" s="1">
        <f t="shared" si="7"/>
        <v>0</v>
      </c>
      <c r="Q10" s="1">
        <f t="shared" si="5"/>
        <v>1630</v>
      </c>
    </row>
    <row r="11" spans="1:17" x14ac:dyDescent="0.25">
      <c r="B11" s="24">
        <v>1</v>
      </c>
      <c r="C11" s="79"/>
      <c r="D11" s="24"/>
      <c r="E11" s="85">
        <f>GETPIVOTDATA("Hi Rate",Summary!$A$2)</f>
        <v>10000</v>
      </c>
      <c r="H11" t="s">
        <v>171</v>
      </c>
      <c r="I11">
        <f t="shared" si="8"/>
        <v>9</v>
      </c>
      <c r="J11" t="str">
        <f>VLOOKUP(Table2[[#This Row],[Month]],MonthLookup!A:B,2,FALSE)</f>
        <v>September</v>
      </c>
      <c r="K11">
        <f t="shared" si="2"/>
        <v>0</v>
      </c>
      <c r="L11">
        <f t="shared" si="3"/>
        <v>0</v>
      </c>
      <c r="M11">
        <f t="shared" si="4"/>
        <v>0</v>
      </c>
      <c r="N11" s="1">
        <f t="shared" si="0"/>
        <v>0</v>
      </c>
      <c r="O11" s="1">
        <f t="shared" si="6"/>
        <v>0</v>
      </c>
      <c r="P11" s="1">
        <f t="shared" si="7"/>
        <v>0</v>
      </c>
      <c r="Q11" s="1">
        <f t="shared" si="5"/>
        <v>0</v>
      </c>
    </row>
    <row r="12" spans="1:17" x14ac:dyDescent="0.25">
      <c r="A12">
        <v>1</v>
      </c>
      <c r="B12" s="24" t="s">
        <v>172</v>
      </c>
      <c r="C12" s="24" t="s">
        <v>169</v>
      </c>
      <c r="D12" s="24" t="s">
        <v>173</v>
      </c>
      <c r="E12" s="24"/>
      <c r="H12" t="s">
        <v>174</v>
      </c>
      <c r="I12">
        <f t="shared" si="8"/>
        <v>9</v>
      </c>
      <c r="J12" t="str">
        <f>VLOOKUP(Table2[[#This Row],[Month]],MonthLookup!A:B,2,FALSE)</f>
        <v>September</v>
      </c>
      <c r="K12">
        <f t="shared" si="2"/>
        <v>0</v>
      </c>
      <c r="L12">
        <f t="shared" si="3"/>
        <v>-1</v>
      </c>
      <c r="M12">
        <f t="shared" si="4"/>
        <v>-1</v>
      </c>
      <c r="N12" s="1">
        <f t="shared" si="0"/>
        <v>0</v>
      </c>
      <c r="O12" s="1">
        <f t="shared" si="6"/>
        <v>0</v>
      </c>
      <c r="P12" s="1">
        <f t="shared" si="7"/>
        <v>0</v>
      </c>
      <c r="Q12" s="1">
        <f t="shared" si="5"/>
        <v>0</v>
      </c>
    </row>
    <row r="13" spans="1:17" x14ac:dyDescent="0.25">
      <c r="A13">
        <v>2</v>
      </c>
      <c r="B13" s="24">
        <f>B11</f>
        <v>1</v>
      </c>
      <c r="C13" s="24">
        <f>$E$11*(C$11/B$11)</f>
        <v>0</v>
      </c>
      <c r="D13" s="24">
        <f>IF(B13&gt;0,C13,0)</f>
        <v>0</v>
      </c>
      <c r="E13" s="24"/>
      <c r="H13" t="s">
        <v>175</v>
      </c>
      <c r="I13">
        <f>I9+1</f>
        <v>9</v>
      </c>
      <c r="J13" t="str">
        <f>VLOOKUP(Table2[[#This Row],[Month]],MonthLookup!A:B,2,FALSE)</f>
        <v>September</v>
      </c>
      <c r="K13">
        <f>IF(NOT(K12=0),K12-1,0)</f>
        <v>0</v>
      </c>
      <c r="L13">
        <f t="shared" si="3"/>
        <v>-2</v>
      </c>
      <c r="M13">
        <f t="shared" si="4"/>
        <v>-2</v>
      </c>
      <c r="N13" s="1">
        <f t="shared" si="0"/>
        <v>0</v>
      </c>
      <c r="O13" s="1">
        <f>IF(AND(L13&gt;0,NOT(L13=L12)),$E$4,0)</f>
        <v>0</v>
      </c>
      <c r="P13" s="1">
        <f>IF(AND(M13&gt;0,NOT(M13=M12)),$E$5,0)</f>
        <v>0</v>
      </c>
      <c r="Q13" s="1">
        <f t="shared" si="5"/>
        <v>0</v>
      </c>
    </row>
    <row r="14" spans="1:17" x14ac:dyDescent="0.25">
      <c r="A14">
        <v>3</v>
      </c>
      <c r="B14" s="24">
        <f>B13-1</f>
        <v>0</v>
      </c>
      <c r="C14" s="24">
        <f>$E$11*(C$11/B$11)</f>
        <v>0</v>
      </c>
      <c r="D14" s="24">
        <f t="shared" ref="D14:D16" si="9">IF(B14&gt;0,C14,0)</f>
        <v>0</v>
      </c>
      <c r="E14" s="24"/>
      <c r="H14" t="s">
        <v>176</v>
      </c>
      <c r="I14">
        <f>I10+1</f>
        <v>9</v>
      </c>
      <c r="J14" t="str">
        <f>VLOOKUP(Table2[[#This Row],[Month]],MonthLookup!A:B,2,FALSE)</f>
        <v>September</v>
      </c>
      <c r="K14">
        <f t="shared" si="2"/>
        <v>0</v>
      </c>
      <c r="L14">
        <f t="shared" si="3"/>
        <v>-3</v>
      </c>
      <c r="M14">
        <f t="shared" si="4"/>
        <v>-3</v>
      </c>
      <c r="N14" s="1">
        <f t="shared" si="0"/>
        <v>0</v>
      </c>
      <c r="O14" s="1">
        <f t="shared" si="6"/>
        <v>0</v>
      </c>
      <c r="P14" s="1">
        <f t="shared" si="7"/>
        <v>0</v>
      </c>
      <c r="Q14" s="1">
        <f t="shared" si="5"/>
        <v>0</v>
      </c>
    </row>
    <row r="15" spans="1:17" x14ac:dyDescent="0.25">
      <c r="A15">
        <v>4</v>
      </c>
      <c r="B15" s="24">
        <f t="shared" ref="B15:B16" si="10">B14-1</f>
        <v>-1</v>
      </c>
      <c r="C15" s="24">
        <f>$E$11*(C$11/B$11)</f>
        <v>0</v>
      </c>
      <c r="D15" s="24">
        <f t="shared" si="9"/>
        <v>0</v>
      </c>
      <c r="E15" s="24"/>
      <c r="H15" t="s">
        <v>177</v>
      </c>
      <c r="I15">
        <f>I11+1</f>
        <v>10</v>
      </c>
      <c r="J15" t="str">
        <f>VLOOKUP(Table2[[#This Row],[Month]],MonthLookup!A:B,2,FALSE)</f>
        <v>October</v>
      </c>
      <c r="K15">
        <f t="shared" si="2"/>
        <v>0</v>
      </c>
      <c r="L15">
        <f t="shared" si="3"/>
        <v>-4</v>
      </c>
      <c r="M15">
        <f t="shared" si="4"/>
        <v>-4</v>
      </c>
      <c r="N15" s="1">
        <f t="shared" si="0"/>
        <v>0</v>
      </c>
      <c r="O15" s="1">
        <f t="shared" si="6"/>
        <v>0</v>
      </c>
      <c r="P15" s="1">
        <f t="shared" si="7"/>
        <v>0</v>
      </c>
      <c r="Q15" s="1">
        <f t="shared" si="5"/>
        <v>0</v>
      </c>
    </row>
    <row r="16" spans="1:17" x14ac:dyDescent="0.25">
      <c r="B16" s="24">
        <f t="shared" si="10"/>
        <v>-2</v>
      </c>
      <c r="C16" s="24">
        <f>$E$11*(C$11/B$11)</f>
        <v>0</v>
      </c>
      <c r="D16" s="24">
        <f t="shared" si="9"/>
        <v>0</v>
      </c>
      <c r="E16" s="24"/>
      <c r="H16" t="s">
        <v>178</v>
      </c>
      <c r="I16">
        <f>I12+1</f>
        <v>10</v>
      </c>
      <c r="J16" t="str">
        <f>VLOOKUP(Table2[[#This Row],[Month]],MonthLookup!A:B,2,FALSE)</f>
        <v>October</v>
      </c>
      <c r="K16">
        <f t="shared" si="2"/>
        <v>0</v>
      </c>
      <c r="L16">
        <f t="shared" si="3"/>
        <v>-5</v>
      </c>
      <c r="M16">
        <f t="shared" si="4"/>
        <v>-5</v>
      </c>
      <c r="N16" s="1">
        <f t="shared" si="0"/>
        <v>0</v>
      </c>
      <c r="O16" s="1">
        <f t="shared" si="6"/>
        <v>0</v>
      </c>
      <c r="P16" s="1">
        <f t="shared" si="7"/>
        <v>0</v>
      </c>
      <c r="Q16" s="1">
        <f t="shared" si="5"/>
        <v>0</v>
      </c>
    </row>
    <row r="17" spans="1:17" x14ac:dyDescent="0.25">
      <c r="H17" t="s">
        <v>179</v>
      </c>
      <c r="I17">
        <f t="shared" si="8"/>
        <v>10</v>
      </c>
      <c r="J17" t="str">
        <f>VLOOKUP(Table2[[#This Row],[Month]],MonthLookup!A:B,2,FALSE)</f>
        <v>October</v>
      </c>
      <c r="K17">
        <f t="shared" si="2"/>
        <v>0</v>
      </c>
      <c r="L17">
        <f t="shared" si="3"/>
        <v>-6</v>
      </c>
      <c r="M17">
        <f t="shared" si="4"/>
        <v>-6</v>
      </c>
      <c r="N17" s="1">
        <f t="shared" si="0"/>
        <v>0</v>
      </c>
      <c r="O17" s="1">
        <f t="shared" si="6"/>
        <v>0</v>
      </c>
      <c r="P17" s="1">
        <f t="shared" si="7"/>
        <v>0</v>
      </c>
      <c r="Q17" s="1">
        <f t="shared" si="5"/>
        <v>0</v>
      </c>
    </row>
    <row r="18" spans="1:17" x14ac:dyDescent="0.25">
      <c r="A18" s="71"/>
      <c r="B18" s="71"/>
      <c r="C18" s="71"/>
      <c r="D18" s="71"/>
      <c r="E18" s="71"/>
      <c r="F18" s="71"/>
      <c r="H18" t="s">
        <v>180</v>
      </c>
      <c r="I18">
        <f t="shared" si="8"/>
        <v>10</v>
      </c>
      <c r="J18" t="str">
        <f>VLOOKUP(Table2[[#This Row],[Month]],MonthLookup!A:B,2,FALSE)</f>
        <v>October</v>
      </c>
      <c r="K18">
        <f t="shared" si="2"/>
        <v>0</v>
      </c>
      <c r="L18">
        <f t="shared" si="3"/>
        <v>-7</v>
      </c>
      <c r="M18">
        <f t="shared" si="4"/>
        <v>-7</v>
      </c>
      <c r="N18" s="1">
        <f t="shared" si="0"/>
        <v>0</v>
      </c>
      <c r="O18" s="1">
        <f t="shared" si="6"/>
        <v>0</v>
      </c>
      <c r="P18" s="1">
        <f t="shared" si="7"/>
        <v>0</v>
      </c>
      <c r="Q18" s="1">
        <f t="shared" si="5"/>
        <v>0</v>
      </c>
    </row>
    <row r="19" spans="1:17" x14ac:dyDescent="0.25">
      <c r="H19" t="s">
        <v>181</v>
      </c>
      <c r="I19">
        <f t="shared" si="8"/>
        <v>11</v>
      </c>
      <c r="J19" t="str">
        <f>VLOOKUP(Table2[[#This Row],[Month]],MonthLookup!A:B,2,FALSE)</f>
        <v>November</v>
      </c>
      <c r="K19">
        <f t="shared" si="2"/>
        <v>0</v>
      </c>
      <c r="L19">
        <f t="shared" si="3"/>
        <v>-8</v>
      </c>
      <c r="M19">
        <f t="shared" si="4"/>
        <v>-8</v>
      </c>
      <c r="N19" s="1">
        <f t="shared" si="0"/>
        <v>0</v>
      </c>
      <c r="O19" s="1">
        <f t="shared" si="6"/>
        <v>0</v>
      </c>
      <c r="P19" s="1">
        <f t="shared" si="7"/>
        <v>0</v>
      </c>
      <c r="Q19" s="1">
        <f t="shared" si="5"/>
        <v>0</v>
      </c>
    </row>
    <row r="20" spans="1:17" x14ac:dyDescent="0.25">
      <c r="H20" t="s">
        <v>182</v>
      </c>
      <c r="I20">
        <f t="shared" si="8"/>
        <v>11</v>
      </c>
      <c r="J20" t="str">
        <f>VLOOKUP(Table2[[#This Row],[Month]],MonthLookup!A:B,2,FALSE)</f>
        <v>November</v>
      </c>
      <c r="K20">
        <f t="shared" si="2"/>
        <v>0</v>
      </c>
      <c r="L20">
        <f t="shared" si="3"/>
        <v>-9</v>
      </c>
      <c r="M20">
        <f t="shared" si="4"/>
        <v>-9</v>
      </c>
      <c r="N20" s="1">
        <f t="shared" si="0"/>
        <v>0</v>
      </c>
      <c r="O20" s="1">
        <f t="shared" si="6"/>
        <v>0</v>
      </c>
      <c r="P20" s="1">
        <f t="shared" si="7"/>
        <v>0</v>
      </c>
      <c r="Q20" s="1">
        <f t="shared" si="5"/>
        <v>0</v>
      </c>
    </row>
    <row r="21" spans="1:17" x14ac:dyDescent="0.25">
      <c r="H21" t="s">
        <v>183</v>
      </c>
      <c r="I21">
        <f t="shared" si="8"/>
        <v>11</v>
      </c>
      <c r="J21" t="str">
        <f>VLOOKUP(Table2[[#This Row],[Month]],MonthLookup!A:B,2,FALSE)</f>
        <v>November</v>
      </c>
      <c r="K21">
        <f t="shared" si="2"/>
        <v>0</v>
      </c>
      <c r="L21">
        <f t="shared" si="3"/>
        <v>-10</v>
      </c>
      <c r="M21">
        <f t="shared" si="4"/>
        <v>-10</v>
      </c>
      <c r="N21" s="1">
        <f t="shared" si="0"/>
        <v>0</v>
      </c>
      <c r="O21" s="1">
        <f t="shared" si="6"/>
        <v>0</v>
      </c>
      <c r="P21" s="1">
        <f t="shared" si="7"/>
        <v>0</v>
      </c>
      <c r="Q21" s="1">
        <f t="shared" si="5"/>
        <v>0</v>
      </c>
    </row>
    <row r="22" spans="1:17" x14ac:dyDescent="0.25">
      <c r="H22" t="s">
        <v>184</v>
      </c>
      <c r="I22">
        <f t="shared" si="8"/>
        <v>11</v>
      </c>
      <c r="J22" t="str">
        <f>VLOOKUP(Table2[[#This Row],[Month]],MonthLookup!A:B,2,FALSE)</f>
        <v>November</v>
      </c>
      <c r="K22">
        <f t="shared" si="2"/>
        <v>0</v>
      </c>
      <c r="L22">
        <f t="shared" si="3"/>
        <v>-11</v>
      </c>
      <c r="M22">
        <f t="shared" si="4"/>
        <v>-11</v>
      </c>
      <c r="N22" s="1">
        <f t="shared" si="0"/>
        <v>0</v>
      </c>
      <c r="O22" s="1">
        <f t="shared" si="6"/>
        <v>0</v>
      </c>
      <c r="P22" s="1">
        <f t="shared" si="7"/>
        <v>0</v>
      </c>
      <c r="Q22" s="1">
        <f t="shared" si="5"/>
        <v>0</v>
      </c>
    </row>
    <row r="23" spans="1:17" x14ac:dyDescent="0.25">
      <c r="H23" t="s">
        <v>185</v>
      </c>
      <c r="I23">
        <f t="shared" si="8"/>
        <v>12</v>
      </c>
      <c r="J23" t="str">
        <f>VLOOKUP(Table2[[#This Row],[Month]],MonthLookup!A:B,2,FALSE)</f>
        <v>December</v>
      </c>
      <c r="K23">
        <f t="shared" si="2"/>
        <v>0</v>
      </c>
      <c r="L23">
        <f t="shared" si="3"/>
        <v>-12</v>
      </c>
      <c r="M23">
        <f t="shared" si="4"/>
        <v>-12</v>
      </c>
      <c r="N23" s="1">
        <f t="shared" si="0"/>
        <v>0</v>
      </c>
      <c r="O23" s="1">
        <f t="shared" si="6"/>
        <v>0</v>
      </c>
      <c r="P23" s="1">
        <f t="shared" si="7"/>
        <v>0</v>
      </c>
      <c r="Q23" s="1">
        <f t="shared" si="5"/>
        <v>0</v>
      </c>
    </row>
    <row r="24" spans="1:17" x14ac:dyDescent="0.25">
      <c r="H24" t="s">
        <v>186</v>
      </c>
      <c r="I24">
        <f t="shared" si="8"/>
        <v>12</v>
      </c>
      <c r="J24" t="str">
        <f>VLOOKUP(Table2[[#This Row],[Month]],MonthLookup!A:B,2,FALSE)</f>
        <v>December</v>
      </c>
      <c r="K24">
        <f>IF(NOT(K23=0),K23-1,0)</f>
        <v>0</v>
      </c>
      <c r="L24">
        <f t="shared" si="3"/>
        <v>-13</v>
      </c>
      <c r="M24">
        <f t="shared" si="4"/>
        <v>-13</v>
      </c>
      <c r="N24" s="1">
        <f t="shared" si="0"/>
        <v>0</v>
      </c>
      <c r="O24" s="1">
        <f t="shared" si="6"/>
        <v>0</v>
      </c>
      <c r="P24" s="1">
        <f t="shared" si="7"/>
        <v>0</v>
      </c>
      <c r="Q24" s="1">
        <f t="shared" si="5"/>
        <v>0</v>
      </c>
    </row>
    <row r="25" spans="1:17" x14ac:dyDescent="0.25">
      <c r="H25" t="s">
        <v>187</v>
      </c>
      <c r="I25">
        <f t="shared" si="8"/>
        <v>12</v>
      </c>
      <c r="J25" t="str">
        <f>VLOOKUP(Table2[[#This Row],[Month]],MonthLookup!A:B,2,FALSE)</f>
        <v>December</v>
      </c>
      <c r="K25">
        <f t="shared" si="2"/>
        <v>0</v>
      </c>
      <c r="L25">
        <f t="shared" si="3"/>
        <v>-14</v>
      </c>
      <c r="M25">
        <f t="shared" si="4"/>
        <v>-14</v>
      </c>
      <c r="N25" s="1">
        <f t="shared" si="0"/>
        <v>0</v>
      </c>
      <c r="O25" s="1">
        <f t="shared" si="6"/>
        <v>0</v>
      </c>
      <c r="P25" s="1">
        <f t="shared" si="7"/>
        <v>0</v>
      </c>
      <c r="Q25" s="1">
        <f t="shared" si="5"/>
        <v>0</v>
      </c>
    </row>
    <row r="26" spans="1:17" x14ac:dyDescent="0.25">
      <c r="H26" t="s">
        <v>188</v>
      </c>
      <c r="I26">
        <f t="shared" si="8"/>
        <v>12</v>
      </c>
      <c r="J26" t="str">
        <f>VLOOKUP(Table2[[#This Row],[Month]],MonthLookup!A:B,2,FALSE)</f>
        <v>December</v>
      </c>
      <c r="K26">
        <f t="shared" si="2"/>
        <v>0</v>
      </c>
      <c r="L26">
        <f t="shared" si="3"/>
        <v>-15</v>
      </c>
      <c r="M26">
        <f t="shared" si="4"/>
        <v>-15</v>
      </c>
      <c r="N26" s="1">
        <f t="shared" si="0"/>
        <v>0</v>
      </c>
      <c r="O26" s="1">
        <f t="shared" si="6"/>
        <v>0</v>
      </c>
      <c r="P26" s="1">
        <f t="shared" si="7"/>
        <v>0</v>
      </c>
      <c r="Q26" s="1">
        <f t="shared" si="5"/>
        <v>0</v>
      </c>
    </row>
    <row r="27" spans="1:17" x14ac:dyDescent="0.25">
      <c r="H27" t="s">
        <v>189</v>
      </c>
      <c r="I27">
        <f t="shared" si="8"/>
        <v>13</v>
      </c>
      <c r="J27" t="str">
        <f>VLOOKUP(Table2[[#This Row],[Month]],MonthLookup!A:B,2,FALSE)</f>
        <v>January</v>
      </c>
      <c r="K27">
        <f t="shared" si="2"/>
        <v>0</v>
      </c>
      <c r="L27">
        <f t="shared" si="3"/>
        <v>-16</v>
      </c>
      <c r="M27">
        <f t="shared" si="4"/>
        <v>-16</v>
      </c>
      <c r="N27" s="1">
        <f t="shared" si="0"/>
        <v>0</v>
      </c>
      <c r="O27" s="1">
        <f t="shared" si="6"/>
        <v>0</v>
      </c>
      <c r="P27" s="1">
        <f t="shared" si="7"/>
        <v>0</v>
      </c>
      <c r="Q27" s="1">
        <f t="shared" si="5"/>
        <v>0</v>
      </c>
    </row>
    <row r="28" spans="1:17" x14ac:dyDescent="0.25">
      <c r="H28" t="s">
        <v>190</v>
      </c>
      <c r="I28">
        <f t="shared" si="8"/>
        <v>13</v>
      </c>
      <c r="J28" t="str">
        <f>VLOOKUP(Table2[[#This Row],[Month]],MonthLookup!A:B,2,FALSE)</f>
        <v>January</v>
      </c>
      <c r="K28">
        <f t="shared" si="2"/>
        <v>0</v>
      </c>
      <c r="L28">
        <f t="shared" si="3"/>
        <v>-17</v>
      </c>
      <c r="M28">
        <f t="shared" si="4"/>
        <v>-17</v>
      </c>
      <c r="N28" s="1">
        <f t="shared" si="0"/>
        <v>0</v>
      </c>
      <c r="O28" s="1">
        <f t="shared" si="6"/>
        <v>0</v>
      </c>
      <c r="P28" s="1">
        <f t="shared" si="7"/>
        <v>0</v>
      </c>
      <c r="Q28" s="1">
        <f t="shared" si="5"/>
        <v>0</v>
      </c>
    </row>
    <row r="29" spans="1:17" x14ac:dyDescent="0.25">
      <c r="H29" t="s">
        <v>191</v>
      </c>
      <c r="I29">
        <f t="shared" si="8"/>
        <v>13</v>
      </c>
      <c r="J29" t="str">
        <f>VLOOKUP(Table2[[#This Row],[Month]],MonthLookup!A:B,2,FALSE)</f>
        <v>January</v>
      </c>
      <c r="K29">
        <f t="shared" si="2"/>
        <v>0</v>
      </c>
      <c r="L29">
        <f t="shared" si="3"/>
        <v>-18</v>
      </c>
      <c r="M29">
        <f t="shared" si="4"/>
        <v>-18</v>
      </c>
      <c r="N29" s="1">
        <f t="shared" si="0"/>
        <v>0</v>
      </c>
      <c r="O29" s="1">
        <f t="shared" si="6"/>
        <v>0</v>
      </c>
      <c r="P29" s="1">
        <f t="shared" si="7"/>
        <v>0</v>
      </c>
      <c r="Q29" s="1">
        <f t="shared" si="5"/>
        <v>0</v>
      </c>
    </row>
    <row r="30" spans="1:17" x14ac:dyDescent="0.25">
      <c r="H30" t="s">
        <v>192</v>
      </c>
      <c r="I30">
        <f t="shared" si="8"/>
        <v>13</v>
      </c>
      <c r="J30" t="str">
        <f>VLOOKUP(Table2[[#This Row],[Month]],MonthLookup!A:B,2,FALSE)</f>
        <v>January</v>
      </c>
      <c r="K30">
        <f t="shared" si="2"/>
        <v>0</v>
      </c>
      <c r="L30">
        <f t="shared" si="3"/>
        <v>-19</v>
      </c>
      <c r="M30">
        <f t="shared" si="4"/>
        <v>-19</v>
      </c>
      <c r="N30" s="1">
        <f t="shared" si="0"/>
        <v>0</v>
      </c>
      <c r="O30" s="1">
        <f t="shared" si="6"/>
        <v>0</v>
      </c>
      <c r="P30" s="1">
        <f t="shared" si="7"/>
        <v>0</v>
      </c>
      <c r="Q30" s="1">
        <f t="shared" si="5"/>
        <v>0</v>
      </c>
    </row>
    <row r="31" spans="1:17" x14ac:dyDescent="0.25">
      <c r="H31" t="s">
        <v>193</v>
      </c>
      <c r="I31">
        <f t="shared" si="8"/>
        <v>14</v>
      </c>
      <c r="J31" t="str">
        <f>VLOOKUP(Table2[[#This Row],[Month]],MonthLookup!A:B,2,FALSE)</f>
        <v>February</v>
      </c>
      <c r="K31">
        <f t="shared" si="2"/>
        <v>0</v>
      </c>
      <c r="L31">
        <f t="shared" si="3"/>
        <v>-20</v>
      </c>
      <c r="M31">
        <f t="shared" si="4"/>
        <v>-20</v>
      </c>
      <c r="N31" s="1">
        <f t="shared" si="0"/>
        <v>0</v>
      </c>
      <c r="O31" s="1">
        <f t="shared" si="6"/>
        <v>0</v>
      </c>
      <c r="P31" s="1">
        <f t="shared" si="7"/>
        <v>0</v>
      </c>
      <c r="Q31" s="1">
        <f t="shared" si="5"/>
        <v>0</v>
      </c>
    </row>
    <row r="32" spans="1:17" x14ac:dyDescent="0.25">
      <c r="H32" t="s">
        <v>194</v>
      </c>
      <c r="I32">
        <f t="shared" si="8"/>
        <v>14</v>
      </c>
      <c r="J32" t="str">
        <f>VLOOKUP(Table2[[#This Row],[Month]],MonthLookup!A:B,2,FALSE)</f>
        <v>February</v>
      </c>
      <c r="K32">
        <f t="shared" si="2"/>
        <v>0</v>
      </c>
      <c r="L32">
        <f t="shared" si="3"/>
        <v>-21</v>
      </c>
      <c r="M32">
        <f t="shared" si="4"/>
        <v>-21</v>
      </c>
      <c r="N32" s="1">
        <f t="shared" si="0"/>
        <v>0</v>
      </c>
      <c r="O32" s="1">
        <f t="shared" si="6"/>
        <v>0</v>
      </c>
      <c r="P32" s="1">
        <f t="shared" si="7"/>
        <v>0</v>
      </c>
      <c r="Q32" s="1">
        <f t="shared" si="5"/>
        <v>0</v>
      </c>
    </row>
    <row r="33" spans="8:17" x14ac:dyDescent="0.25">
      <c r="H33" t="s">
        <v>195</v>
      </c>
      <c r="I33">
        <f t="shared" si="8"/>
        <v>14</v>
      </c>
      <c r="J33" t="str">
        <f>VLOOKUP(Table2[[#This Row],[Month]],MonthLookup!A:B,2,FALSE)</f>
        <v>February</v>
      </c>
      <c r="K33">
        <f t="shared" si="2"/>
        <v>0</v>
      </c>
      <c r="L33">
        <f t="shared" si="3"/>
        <v>-22</v>
      </c>
      <c r="M33">
        <f t="shared" si="4"/>
        <v>-22</v>
      </c>
      <c r="N33" s="1">
        <f t="shared" si="0"/>
        <v>0</v>
      </c>
      <c r="O33" s="1">
        <f t="shared" si="6"/>
        <v>0</v>
      </c>
      <c r="P33" s="1">
        <f t="shared" si="7"/>
        <v>0</v>
      </c>
      <c r="Q33" s="1">
        <f t="shared" si="5"/>
        <v>0</v>
      </c>
    </row>
    <row r="34" spans="8:17" x14ac:dyDescent="0.25">
      <c r="H34" t="s">
        <v>196</v>
      </c>
      <c r="I34">
        <f t="shared" si="8"/>
        <v>14</v>
      </c>
      <c r="J34" t="str">
        <f>VLOOKUP(Table2[[#This Row],[Month]],MonthLookup!A:B,2,FALSE)</f>
        <v>February</v>
      </c>
      <c r="K34">
        <f t="shared" si="2"/>
        <v>0</v>
      </c>
      <c r="L34">
        <f t="shared" si="3"/>
        <v>-23</v>
      </c>
      <c r="M34">
        <f t="shared" si="4"/>
        <v>-23</v>
      </c>
      <c r="N34" s="1">
        <f t="shared" si="0"/>
        <v>0</v>
      </c>
      <c r="O34" s="1">
        <f t="shared" si="6"/>
        <v>0</v>
      </c>
      <c r="P34" s="1">
        <f t="shared" si="7"/>
        <v>0</v>
      </c>
      <c r="Q34" s="1">
        <f t="shared" si="5"/>
        <v>0</v>
      </c>
    </row>
    <row r="35" spans="8:17" x14ac:dyDescent="0.25">
      <c r="H35" t="s">
        <v>197</v>
      </c>
      <c r="I35">
        <f t="shared" si="8"/>
        <v>15</v>
      </c>
      <c r="J35" t="str">
        <f>VLOOKUP(Table2[[#This Row],[Month]],MonthLookup!A:B,2,FALSE)</f>
        <v>March</v>
      </c>
      <c r="K35">
        <f t="shared" si="2"/>
        <v>0</v>
      </c>
      <c r="L35">
        <f t="shared" si="3"/>
        <v>-24</v>
      </c>
      <c r="M35">
        <f t="shared" si="4"/>
        <v>-24</v>
      </c>
      <c r="N35" s="1">
        <f t="shared" si="0"/>
        <v>0</v>
      </c>
      <c r="O35" s="1">
        <f t="shared" si="6"/>
        <v>0</v>
      </c>
      <c r="P35" s="1">
        <f t="shared" si="7"/>
        <v>0</v>
      </c>
      <c r="Q35" s="1">
        <f t="shared" si="5"/>
        <v>0</v>
      </c>
    </row>
    <row r="36" spans="8:17" x14ac:dyDescent="0.25">
      <c r="H36" t="s">
        <v>198</v>
      </c>
      <c r="I36">
        <f t="shared" si="8"/>
        <v>15</v>
      </c>
      <c r="J36" t="str">
        <f>VLOOKUP(Table2[[#This Row],[Month]],MonthLookup!A:B,2,FALSE)</f>
        <v>March</v>
      </c>
      <c r="K36">
        <f t="shared" si="2"/>
        <v>0</v>
      </c>
      <c r="L36">
        <f t="shared" ref="L36:L67" si="11">IF(K36=0,L35-1,$L$1)</f>
        <v>-25</v>
      </c>
      <c r="M36">
        <f t="shared" ref="M36:M67" si="12">IF(L36&lt;=0,M35-1,$M$1)</f>
        <v>-25</v>
      </c>
      <c r="N36" s="1">
        <f t="shared" si="0"/>
        <v>0</v>
      </c>
      <c r="O36" s="1">
        <f t="shared" si="6"/>
        <v>0</v>
      </c>
      <c r="P36" s="1">
        <f t="shared" si="7"/>
        <v>0</v>
      </c>
      <c r="Q36" s="1">
        <f t="shared" si="5"/>
        <v>0</v>
      </c>
    </row>
    <row r="37" spans="8:17" x14ac:dyDescent="0.25">
      <c r="H37" t="s">
        <v>199</v>
      </c>
      <c r="I37">
        <f t="shared" si="8"/>
        <v>15</v>
      </c>
      <c r="J37" t="str">
        <f>VLOOKUP(Table2[[#This Row],[Month]],MonthLookup!A:B,2,FALSE)</f>
        <v>March</v>
      </c>
      <c r="K37">
        <f t="shared" si="2"/>
        <v>0</v>
      </c>
      <c r="L37">
        <f t="shared" si="11"/>
        <v>-26</v>
      </c>
      <c r="M37">
        <f t="shared" si="12"/>
        <v>-26</v>
      </c>
      <c r="N37" s="1">
        <f t="shared" si="0"/>
        <v>0</v>
      </c>
      <c r="O37" s="1">
        <f t="shared" si="6"/>
        <v>0</v>
      </c>
      <c r="P37" s="1">
        <f t="shared" si="7"/>
        <v>0</v>
      </c>
      <c r="Q37" s="1">
        <f t="shared" si="5"/>
        <v>0</v>
      </c>
    </row>
    <row r="38" spans="8:17" x14ac:dyDescent="0.25">
      <c r="H38" t="s">
        <v>200</v>
      </c>
      <c r="I38">
        <f t="shared" si="8"/>
        <v>15</v>
      </c>
      <c r="J38" t="str">
        <f>VLOOKUP(Table2[[#This Row],[Month]],MonthLookup!A:B,2,FALSE)</f>
        <v>March</v>
      </c>
      <c r="K38">
        <f t="shared" si="2"/>
        <v>0</v>
      </c>
      <c r="L38">
        <f t="shared" si="11"/>
        <v>-27</v>
      </c>
      <c r="M38">
        <f t="shared" si="12"/>
        <v>-27</v>
      </c>
      <c r="N38" s="1">
        <f t="shared" si="0"/>
        <v>0</v>
      </c>
      <c r="O38" s="1">
        <f t="shared" si="6"/>
        <v>0</v>
      </c>
      <c r="P38" s="1">
        <f t="shared" si="7"/>
        <v>0</v>
      </c>
      <c r="Q38" s="1">
        <f t="shared" si="5"/>
        <v>0</v>
      </c>
    </row>
    <row r="39" spans="8:17" x14ac:dyDescent="0.25">
      <c r="H39" t="s">
        <v>201</v>
      </c>
      <c r="I39">
        <f t="shared" si="8"/>
        <v>16</v>
      </c>
      <c r="J39" t="str">
        <f>VLOOKUP(Table2[[#This Row],[Month]],MonthLookup!A:B,2,FALSE)</f>
        <v>April</v>
      </c>
      <c r="K39">
        <f t="shared" si="2"/>
        <v>0</v>
      </c>
      <c r="L39">
        <f t="shared" si="11"/>
        <v>-28</v>
      </c>
      <c r="M39">
        <f t="shared" si="12"/>
        <v>-28</v>
      </c>
      <c r="N39" s="1">
        <f t="shared" si="0"/>
        <v>0</v>
      </c>
      <c r="O39" s="1">
        <f t="shared" si="6"/>
        <v>0</v>
      </c>
      <c r="P39" s="1">
        <f t="shared" si="7"/>
        <v>0</v>
      </c>
      <c r="Q39" s="1">
        <f t="shared" si="5"/>
        <v>0</v>
      </c>
    </row>
    <row r="40" spans="8:17" x14ac:dyDescent="0.25">
      <c r="H40" t="s">
        <v>202</v>
      </c>
      <c r="I40">
        <f t="shared" si="8"/>
        <v>16</v>
      </c>
      <c r="J40" t="str">
        <f>VLOOKUP(Table2[[#This Row],[Month]],MonthLookup!A:B,2,FALSE)</f>
        <v>April</v>
      </c>
      <c r="K40">
        <f t="shared" si="2"/>
        <v>0</v>
      </c>
      <c r="L40">
        <f t="shared" si="11"/>
        <v>-29</v>
      </c>
      <c r="M40">
        <f t="shared" si="12"/>
        <v>-29</v>
      </c>
      <c r="N40" s="1">
        <f t="shared" si="0"/>
        <v>0</v>
      </c>
      <c r="O40" s="1">
        <f t="shared" si="6"/>
        <v>0</v>
      </c>
      <c r="P40" s="1">
        <f t="shared" si="7"/>
        <v>0</v>
      </c>
      <c r="Q40" s="1">
        <f t="shared" si="5"/>
        <v>0</v>
      </c>
    </row>
    <row r="41" spans="8:17" x14ac:dyDescent="0.25">
      <c r="H41" t="s">
        <v>203</v>
      </c>
      <c r="I41">
        <f t="shared" si="8"/>
        <v>16</v>
      </c>
      <c r="J41" t="str">
        <f>VLOOKUP(Table2[[#This Row],[Month]],MonthLookup!A:B,2,FALSE)</f>
        <v>April</v>
      </c>
      <c r="K41">
        <f t="shared" si="2"/>
        <v>0</v>
      </c>
      <c r="L41">
        <f t="shared" si="11"/>
        <v>-30</v>
      </c>
      <c r="M41">
        <f t="shared" si="12"/>
        <v>-30</v>
      </c>
      <c r="N41" s="1">
        <f t="shared" si="0"/>
        <v>0</v>
      </c>
      <c r="O41" s="1">
        <f t="shared" si="6"/>
        <v>0</v>
      </c>
      <c r="P41" s="1">
        <f t="shared" si="7"/>
        <v>0</v>
      </c>
      <c r="Q41" s="1">
        <f t="shared" si="5"/>
        <v>0</v>
      </c>
    </row>
    <row r="42" spans="8:17" x14ac:dyDescent="0.25">
      <c r="H42" t="s">
        <v>204</v>
      </c>
      <c r="I42">
        <f t="shared" si="8"/>
        <v>16</v>
      </c>
      <c r="J42" t="str">
        <f>VLOOKUP(Table2[[#This Row],[Month]],MonthLookup!A:B,2,FALSE)</f>
        <v>April</v>
      </c>
      <c r="K42">
        <f t="shared" si="2"/>
        <v>0</v>
      </c>
      <c r="L42">
        <f t="shared" si="11"/>
        <v>-31</v>
      </c>
      <c r="M42">
        <f t="shared" si="12"/>
        <v>-31</v>
      </c>
      <c r="N42" s="1">
        <f t="shared" si="0"/>
        <v>0</v>
      </c>
      <c r="O42" s="1">
        <f t="shared" si="6"/>
        <v>0</v>
      </c>
      <c r="P42" s="1">
        <f t="shared" si="7"/>
        <v>0</v>
      </c>
      <c r="Q42" s="1">
        <f t="shared" si="5"/>
        <v>0</v>
      </c>
    </row>
    <row r="43" spans="8:17" x14ac:dyDescent="0.25">
      <c r="H43" t="s">
        <v>205</v>
      </c>
      <c r="I43">
        <f t="shared" si="8"/>
        <v>17</v>
      </c>
      <c r="J43" t="str">
        <f>VLOOKUP(Table2[[#This Row],[Month]],MonthLookup!A:B,2,FALSE)</f>
        <v>May</v>
      </c>
      <c r="K43">
        <f t="shared" si="2"/>
        <v>0</v>
      </c>
      <c r="L43">
        <f t="shared" si="11"/>
        <v>-32</v>
      </c>
      <c r="M43">
        <f t="shared" si="12"/>
        <v>-32</v>
      </c>
      <c r="N43" s="1">
        <f t="shared" si="0"/>
        <v>0</v>
      </c>
      <c r="O43" s="1">
        <f t="shared" si="6"/>
        <v>0</v>
      </c>
      <c r="P43" s="1">
        <f t="shared" si="7"/>
        <v>0</v>
      </c>
      <c r="Q43" s="1">
        <f t="shared" si="5"/>
        <v>0</v>
      </c>
    </row>
    <row r="44" spans="8:17" x14ac:dyDescent="0.25">
      <c r="H44" t="s">
        <v>206</v>
      </c>
      <c r="I44">
        <f t="shared" si="8"/>
        <v>17</v>
      </c>
      <c r="J44" t="str">
        <f>VLOOKUP(Table2[[#This Row],[Month]],MonthLookup!A:B,2,FALSE)</f>
        <v>May</v>
      </c>
      <c r="K44">
        <f t="shared" si="2"/>
        <v>0</v>
      </c>
      <c r="L44">
        <f t="shared" si="11"/>
        <v>-33</v>
      </c>
      <c r="M44">
        <f t="shared" si="12"/>
        <v>-33</v>
      </c>
      <c r="N44" s="1">
        <f t="shared" si="0"/>
        <v>0</v>
      </c>
      <c r="O44" s="1">
        <f t="shared" si="6"/>
        <v>0</v>
      </c>
      <c r="P44" s="1">
        <f t="shared" si="7"/>
        <v>0</v>
      </c>
      <c r="Q44" s="1">
        <f t="shared" si="5"/>
        <v>0</v>
      </c>
    </row>
    <row r="45" spans="8:17" x14ac:dyDescent="0.25">
      <c r="H45" t="s">
        <v>207</v>
      </c>
      <c r="I45">
        <f t="shared" si="8"/>
        <v>17</v>
      </c>
      <c r="J45" t="str">
        <f>VLOOKUP(Table2[[#This Row],[Month]],MonthLookup!A:B,2,FALSE)</f>
        <v>May</v>
      </c>
      <c r="K45">
        <f t="shared" si="2"/>
        <v>0</v>
      </c>
      <c r="L45">
        <f t="shared" si="11"/>
        <v>-34</v>
      </c>
      <c r="M45">
        <f t="shared" si="12"/>
        <v>-34</v>
      </c>
      <c r="N45" s="1">
        <f t="shared" si="0"/>
        <v>0</v>
      </c>
      <c r="O45" s="1">
        <f t="shared" si="6"/>
        <v>0</v>
      </c>
      <c r="P45" s="1">
        <f t="shared" si="7"/>
        <v>0</v>
      </c>
      <c r="Q45" s="1">
        <f t="shared" si="5"/>
        <v>0</v>
      </c>
    </row>
    <row r="46" spans="8:17" x14ac:dyDescent="0.25">
      <c r="H46" t="s">
        <v>208</v>
      </c>
      <c r="I46">
        <f t="shared" si="8"/>
        <v>17</v>
      </c>
      <c r="J46" t="str">
        <f>VLOOKUP(Table2[[#This Row],[Month]],MonthLookup!A:B,2,FALSE)</f>
        <v>May</v>
      </c>
      <c r="K46">
        <f t="shared" si="2"/>
        <v>0</v>
      </c>
      <c r="L46">
        <f t="shared" si="11"/>
        <v>-35</v>
      </c>
      <c r="M46">
        <f t="shared" si="12"/>
        <v>-35</v>
      </c>
      <c r="N46" s="1">
        <f t="shared" si="0"/>
        <v>0</v>
      </c>
      <c r="O46" s="1">
        <f t="shared" si="6"/>
        <v>0</v>
      </c>
      <c r="P46" s="1">
        <f t="shared" si="7"/>
        <v>0</v>
      </c>
      <c r="Q46" s="1">
        <f t="shared" si="5"/>
        <v>0</v>
      </c>
    </row>
    <row r="47" spans="8:17" x14ac:dyDescent="0.25">
      <c r="H47" t="s">
        <v>209</v>
      </c>
      <c r="I47">
        <f t="shared" si="8"/>
        <v>18</v>
      </c>
      <c r="J47" t="str">
        <f>VLOOKUP(Table2[[#This Row],[Month]],MonthLookup!A:B,2,FALSE)</f>
        <v>June</v>
      </c>
      <c r="K47">
        <f t="shared" si="2"/>
        <v>0</v>
      </c>
      <c r="L47">
        <f t="shared" si="11"/>
        <v>-36</v>
      </c>
      <c r="M47">
        <f t="shared" si="12"/>
        <v>-36</v>
      </c>
      <c r="N47" s="1">
        <f t="shared" si="0"/>
        <v>0</v>
      </c>
      <c r="O47" s="1">
        <f t="shared" si="6"/>
        <v>0</v>
      </c>
      <c r="P47" s="1">
        <f t="shared" si="7"/>
        <v>0</v>
      </c>
      <c r="Q47" s="1">
        <f t="shared" si="5"/>
        <v>0</v>
      </c>
    </row>
    <row r="48" spans="8:17" x14ac:dyDescent="0.25">
      <c r="H48" t="s">
        <v>210</v>
      </c>
      <c r="I48">
        <f t="shared" si="8"/>
        <v>18</v>
      </c>
      <c r="J48" t="str">
        <f>VLOOKUP(Table2[[#This Row],[Month]],MonthLookup!A:B,2,FALSE)</f>
        <v>June</v>
      </c>
      <c r="K48">
        <f t="shared" si="2"/>
        <v>0</v>
      </c>
      <c r="L48">
        <f t="shared" si="11"/>
        <v>-37</v>
      </c>
      <c r="M48">
        <f t="shared" si="12"/>
        <v>-37</v>
      </c>
      <c r="N48" s="1">
        <f t="shared" si="0"/>
        <v>0</v>
      </c>
      <c r="O48" s="1">
        <f t="shared" si="6"/>
        <v>0</v>
      </c>
      <c r="P48" s="1">
        <f t="shared" si="7"/>
        <v>0</v>
      </c>
      <c r="Q48" s="1">
        <f t="shared" si="5"/>
        <v>0</v>
      </c>
    </row>
    <row r="49" spans="8:17" x14ac:dyDescent="0.25">
      <c r="H49" t="s">
        <v>211</v>
      </c>
      <c r="I49">
        <f t="shared" si="8"/>
        <v>18</v>
      </c>
      <c r="J49" t="str">
        <f>VLOOKUP(Table2[[#This Row],[Month]],MonthLookup!A:B,2,FALSE)</f>
        <v>June</v>
      </c>
      <c r="K49">
        <f t="shared" si="2"/>
        <v>0</v>
      </c>
      <c r="L49">
        <f t="shared" si="11"/>
        <v>-38</v>
      </c>
      <c r="M49">
        <f t="shared" si="12"/>
        <v>-38</v>
      </c>
      <c r="N49" s="1">
        <f t="shared" si="0"/>
        <v>0</v>
      </c>
      <c r="O49" s="1">
        <f t="shared" si="6"/>
        <v>0</v>
      </c>
      <c r="P49" s="1">
        <f t="shared" si="7"/>
        <v>0</v>
      </c>
      <c r="Q49" s="1">
        <f t="shared" si="5"/>
        <v>0</v>
      </c>
    </row>
    <row r="50" spans="8:17" x14ac:dyDescent="0.25">
      <c r="H50" t="s">
        <v>212</v>
      </c>
      <c r="I50">
        <f t="shared" si="8"/>
        <v>18</v>
      </c>
      <c r="J50" t="str">
        <f>VLOOKUP(Table2[[#This Row],[Month]],MonthLookup!A:B,2,FALSE)</f>
        <v>June</v>
      </c>
      <c r="K50">
        <f t="shared" si="2"/>
        <v>0</v>
      </c>
      <c r="L50">
        <f t="shared" si="11"/>
        <v>-39</v>
      </c>
      <c r="M50">
        <f t="shared" si="12"/>
        <v>-39</v>
      </c>
      <c r="N50" s="1">
        <f t="shared" si="0"/>
        <v>0</v>
      </c>
      <c r="O50" s="1">
        <f t="shared" si="6"/>
        <v>0</v>
      </c>
      <c r="P50" s="1">
        <f t="shared" si="7"/>
        <v>0</v>
      </c>
      <c r="Q50" s="1">
        <f t="shared" si="5"/>
        <v>0</v>
      </c>
    </row>
    <row r="51" spans="8:17" x14ac:dyDescent="0.25">
      <c r="H51" t="s">
        <v>213</v>
      </c>
      <c r="I51">
        <f t="shared" si="8"/>
        <v>19</v>
      </c>
      <c r="J51" t="str">
        <f>VLOOKUP(Table2[[#This Row],[Month]],MonthLookup!A:B,2,FALSE)</f>
        <v>July</v>
      </c>
      <c r="K51">
        <f t="shared" si="2"/>
        <v>0</v>
      </c>
      <c r="L51">
        <f t="shared" si="11"/>
        <v>-40</v>
      </c>
      <c r="M51">
        <f t="shared" si="12"/>
        <v>-40</v>
      </c>
      <c r="N51" s="1">
        <f t="shared" si="0"/>
        <v>0</v>
      </c>
      <c r="O51" s="1">
        <f t="shared" si="6"/>
        <v>0</v>
      </c>
      <c r="P51" s="1">
        <f t="shared" si="7"/>
        <v>0</v>
      </c>
      <c r="Q51" s="1">
        <f t="shared" si="5"/>
        <v>0</v>
      </c>
    </row>
    <row r="52" spans="8:17" x14ac:dyDescent="0.25">
      <c r="H52" t="s">
        <v>214</v>
      </c>
      <c r="I52">
        <f t="shared" si="8"/>
        <v>19</v>
      </c>
      <c r="J52" t="str">
        <f>VLOOKUP(Table2[[#This Row],[Month]],MonthLookup!A:B,2,FALSE)</f>
        <v>July</v>
      </c>
      <c r="K52">
        <f t="shared" si="2"/>
        <v>0</v>
      </c>
      <c r="L52">
        <f t="shared" si="11"/>
        <v>-41</v>
      </c>
      <c r="M52">
        <f t="shared" si="12"/>
        <v>-41</v>
      </c>
      <c r="N52" s="1">
        <f t="shared" si="0"/>
        <v>0</v>
      </c>
      <c r="O52" s="1">
        <f t="shared" si="6"/>
        <v>0</v>
      </c>
      <c r="P52" s="1">
        <f t="shared" si="7"/>
        <v>0</v>
      </c>
      <c r="Q52" s="1">
        <f t="shared" si="5"/>
        <v>0</v>
      </c>
    </row>
    <row r="53" spans="8:17" x14ac:dyDescent="0.25">
      <c r="H53" t="s">
        <v>215</v>
      </c>
      <c r="I53">
        <f t="shared" si="8"/>
        <v>19</v>
      </c>
      <c r="J53" t="str">
        <f>VLOOKUP(Table2[[#This Row],[Month]],MonthLookup!A:B,2,FALSE)</f>
        <v>July</v>
      </c>
      <c r="K53">
        <f t="shared" si="2"/>
        <v>0</v>
      </c>
      <c r="L53">
        <f t="shared" si="11"/>
        <v>-42</v>
      </c>
      <c r="M53">
        <f t="shared" si="12"/>
        <v>-42</v>
      </c>
      <c r="N53" s="1">
        <f t="shared" si="0"/>
        <v>0</v>
      </c>
      <c r="O53" s="1">
        <f t="shared" si="6"/>
        <v>0</v>
      </c>
      <c r="P53" s="1">
        <f t="shared" si="7"/>
        <v>0</v>
      </c>
      <c r="Q53" s="1">
        <f t="shared" si="5"/>
        <v>0</v>
      </c>
    </row>
    <row r="54" spans="8:17" x14ac:dyDescent="0.25">
      <c r="H54" t="s">
        <v>216</v>
      </c>
      <c r="I54">
        <f t="shared" si="8"/>
        <v>19</v>
      </c>
      <c r="J54" t="str">
        <f>VLOOKUP(Table2[[#This Row],[Month]],MonthLookup!A:B,2,FALSE)</f>
        <v>July</v>
      </c>
      <c r="K54">
        <f t="shared" si="2"/>
        <v>0</v>
      </c>
      <c r="L54">
        <f t="shared" si="11"/>
        <v>-43</v>
      </c>
      <c r="M54">
        <f t="shared" si="12"/>
        <v>-43</v>
      </c>
      <c r="N54" s="1">
        <f t="shared" si="0"/>
        <v>0</v>
      </c>
      <c r="O54" s="1">
        <f t="shared" si="6"/>
        <v>0</v>
      </c>
      <c r="P54" s="1">
        <f t="shared" si="7"/>
        <v>0</v>
      </c>
      <c r="Q54" s="1">
        <f t="shared" si="5"/>
        <v>0</v>
      </c>
    </row>
    <row r="55" spans="8:17" x14ac:dyDescent="0.25">
      <c r="H55" t="s">
        <v>217</v>
      </c>
      <c r="I55">
        <f t="shared" si="8"/>
        <v>20</v>
      </c>
      <c r="J55" t="str">
        <f>VLOOKUP(Table2[[#This Row],[Month]],MonthLookup!A:B,2,FALSE)</f>
        <v>August</v>
      </c>
      <c r="K55">
        <f t="shared" si="2"/>
        <v>0</v>
      </c>
      <c r="L55">
        <f t="shared" si="11"/>
        <v>-44</v>
      </c>
      <c r="M55">
        <f t="shared" si="12"/>
        <v>-44</v>
      </c>
      <c r="N55" s="1">
        <f t="shared" si="0"/>
        <v>0</v>
      </c>
      <c r="O55" s="1">
        <f t="shared" si="6"/>
        <v>0</v>
      </c>
      <c r="P55" s="1">
        <f t="shared" si="7"/>
        <v>0</v>
      </c>
      <c r="Q55" s="1">
        <f t="shared" si="5"/>
        <v>0</v>
      </c>
    </row>
    <row r="56" spans="8:17" x14ac:dyDescent="0.25">
      <c r="H56" t="s">
        <v>218</v>
      </c>
      <c r="I56">
        <f t="shared" si="8"/>
        <v>20</v>
      </c>
      <c r="J56" t="str">
        <f>VLOOKUP(Table2[[#This Row],[Month]],MonthLookup!A:B,2,FALSE)</f>
        <v>August</v>
      </c>
      <c r="K56">
        <f t="shared" si="2"/>
        <v>0</v>
      </c>
      <c r="L56">
        <f t="shared" si="11"/>
        <v>-45</v>
      </c>
      <c r="M56">
        <f t="shared" si="12"/>
        <v>-45</v>
      </c>
      <c r="N56" s="1">
        <f t="shared" si="0"/>
        <v>0</v>
      </c>
      <c r="O56" s="1">
        <f t="shared" si="6"/>
        <v>0</v>
      </c>
      <c r="P56" s="1">
        <f t="shared" si="7"/>
        <v>0</v>
      </c>
      <c r="Q56" s="1">
        <f t="shared" si="5"/>
        <v>0</v>
      </c>
    </row>
    <row r="57" spans="8:17" x14ac:dyDescent="0.25">
      <c r="H57" t="s">
        <v>219</v>
      </c>
      <c r="I57">
        <f t="shared" si="8"/>
        <v>20</v>
      </c>
      <c r="J57" t="str">
        <f>VLOOKUP(Table2[[#This Row],[Month]],MonthLookup!A:B,2,FALSE)</f>
        <v>August</v>
      </c>
      <c r="K57">
        <f t="shared" si="2"/>
        <v>0</v>
      </c>
      <c r="L57">
        <f t="shared" si="11"/>
        <v>-46</v>
      </c>
      <c r="M57">
        <f t="shared" si="12"/>
        <v>-46</v>
      </c>
      <c r="N57" s="1">
        <f t="shared" si="0"/>
        <v>0</v>
      </c>
      <c r="O57" s="1">
        <f t="shared" si="6"/>
        <v>0</v>
      </c>
      <c r="P57" s="1">
        <f t="shared" si="7"/>
        <v>0</v>
      </c>
      <c r="Q57" s="1">
        <f t="shared" si="5"/>
        <v>0</v>
      </c>
    </row>
    <row r="58" spans="8:17" x14ac:dyDescent="0.25">
      <c r="H58" t="s">
        <v>220</v>
      </c>
      <c r="I58">
        <f t="shared" si="8"/>
        <v>20</v>
      </c>
      <c r="J58" t="str">
        <f>VLOOKUP(Table2[[#This Row],[Month]],MonthLookup!A:B,2,FALSE)</f>
        <v>August</v>
      </c>
      <c r="K58">
        <f t="shared" si="2"/>
        <v>0</v>
      </c>
      <c r="L58">
        <f t="shared" si="11"/>
        <v>-47</v>
      </c>
      <c r="M58">
        <f t="shared" si="12"/>
        <v>-47</v>
      </c>
      <c r="N58" s="1">
        <f t="shared" si="0"/>
        <v>0</v>
      </c>
      <c r="O58" s="1">
        <f t="shared" si="6"/>
        <v>0</v>
      </c>
      <c r="P58" s="1">
        <f t="shared" si="7"/>
        <v>0</v>
      </c>
      <c r="Q58" s="1">
        <f t="shared" si="5"/>
        <v>0</v>
      </c>
    </row>
    <row r="59" spans="8:17" x14ac:dyDescent="0.25">
      <c r="H59" t="s">
        <v>221</v>
      </c>
      <c r="I59">
        <f t="shared" si="8"/>
        <v>21</v>
      </c>
      <c r="J59" t="str">
        <f>VLOOKUP(Table2[[#This Row],[Month]],MonthLookup!A:B,2,FALSE)</f>
        <v>September</v>
      </c>
      <c r="K59">
        <f t="shared" si="2"/>
        <v>0</v>
      </c>
      <c r="L59">
        <f t="shared" si="11"/>
        <v>-48</v>
      </c>
      <c r="M59">
        <f t="shared" si="12"/>
        <v>-48</v>
      </c>
      <c r="N59" s="1">
        <f t="shared" si="0"/>
        <v>0</v>
      </c>
      <c r="O59" s="1">
        <f t="shared" si="6"/>
        <v>0</v>
      </c>
      <c r="P59" s="1">
        <f t="shared" si="7"/>
        <v>0</v>
      </c>
      <c r="Q59" s="1">
        <f t="shared" si="5"/>
        <v>0</v>
      </c>
    </row>
    <row r="60" spans="8:17" x14ac:dyDescent="0.25">
      <c r="H60" t="s">
        <v>222</v>
      </c>
      <c r="I60">
        <f t="shared" si="8"/>
        <v>21</v>
      </c>
      <c r="J60" t="str">
        <f>VLOOKUP(Table2[[#This Row],[Month]],MonthLookup!A:B,2,FALSE)</f>
        <v>September</v>
      </c>
      <c r="K60">
        <f t="shared" si="2"/>
        <v>0</v>
      </c>
      <c r="L60">
        <f t="shared" si="11"/>
        <v>-49</v>
      </c>
      <c r="M60">
        <f t="shared" si="12"/>
        <v>-49</v>
      </c>
      <c r="N60" s="1">
        <f t="shared" si="0"/>
        <v>0</v>
      </c>
      <c r="O60" s="1">
        <f t="shared" si="6"/>
        <v>0</v>
      </c>
      <c r="P60" s="1">
        <f t="shared" si="7"/>
        <v>0</v>
      </c>
      <c r="Q60" s="1">
        <f t="shared" si="5"/>
        <v>0</v>
      </c>
    </row>
    <row r="61" spans="8:17" x14ac:dyDescent="0.25">
      <c r="H61" t="s">
        <v>223</v>
      </c>
      <c r="I61">
        <f t="shared" si="8"/>
        <v>21</v>
      </c>
      <c r="J61" t="str">
        <f>VLOOKUP(Table2[[#This Row],[Month]],MonthLookup!A:B,2,FALSE)</f>
        <v>September</v>
      </c>
      <c r="K61">
        <f t="shared" si="2"/>
        <v>0</v>
      </c>
      <c r="L61">
        <f t="shared" si="11"/>
        <v>-50</v>
      </c>
      <c r="M61">
        <f t="shared" si="12"/>
        <v>-50</v>
      </c>
      <c r="N61" s="1">
        <f t="shared" si="0"/>
        <v>0</v>
      </c>
      <c r="O61" s="1">
        <f t="shared" si="6"/>
        <v>0</v>
      </c>
      <c r="P61" s="1">
        <f t="shared" si="7"/>
        <v>0</v>
      </c>
      <c r="Q61" s="1">
        <f t="shared" si="5"/>
        <v>0</v>
      </c>
    </row>
    <row r="62" spans="8:17" x14ac:dyDescent="0.25">
      <c r="H62" t="s">
        <v>224</v>
      </c>
      <c r="I62">
        <f t="shared" si="8"/>
        <v>21</v>
      </c>
      <c r="J62" t="str">
        <f>VLOOKUP(Table2[[#This Row],[Month]],MonthLookup!A:B,2,FALSE)</f>
        <v>September</v>
      </c>
      <c r="K62">
        <f t="shared" si="2"/>
        <v>0</v>
      </c>
      <c r="L62">
        <f t="shared" si="11"/>
        <v>-51</v>
      </c>
      <c r="M62">
        <f t="shared" si="12"/>
        <v>-51</v>
      </c>
      <c r="N62" s="1">
        <f t="shared" si="0"/>
        <v>0</v>
      </c>
      <c r="O62" s="1">
        <f t="shared" si="6"/>
        <v>0</v>
      </c>
      <c r="P62" s="1">
        <f t="shared" si="7"/>
        <v>0</v>
      </c>
      <c r="Q62" s="1">
        <f t="shared" si="5"/>
        <v>0</v>
      </c>
    </row>
    <row r="63" spans="8:17" x14ac:dyDescent="0.25">
      <c r="H63" t="s">
        <v>225</v>
      </c>
      <c r="I63">
        <f t="shared" si="8"/>
        <v>22</v>
      </c>
      <c r="J63" t="str">
        <f>VLOOKUP(Table2[[#This Row],[Month]],MonthLookup!A:B,2,FALSE)</f>
        <v>October</v>
      </c>
      <c r="K63">
        <f t="shared" si="2"/>
        <v>0</v>
      </c>
      <c r="L63">
        <f t="shared" si="11"/>
        <v>-52</v>
      </c>
      <c r="M63">
        <f t="shared" si="12"/>
        <v>-52</v>
      </c>
      <c r="N63" s="1">
        <f t="shared" si="0"/>
        <v>0</v>
      </c>
      <c r="O63" s="1">
        <f t="shared" si="6"/>
        <v>0</v>
      </c>
      <c r="P63" s="1">
        <f t="shared" si="7"/>
        <v>0</v>
      </c>
      <c r="Q63" s="1">
        <f t="shared" si="5"/>
        <v>0</v>
      </c>
    </row>
    <row r="64" spans="8:17" x14ac:dyDescent="0.25">
      <c r="H64" t="s">
        <v>226</v>
      </c>
      <c r="I64">
        <f t="shared" si="8"/>
        <v>22</v>
      </c>
      <c r="J64" t="str">
        <f>VLOOKUP(Table2[[#This Row],[Month]],MonthLookup!A:B,2,FALSE)</f>
        <v>October</v>
      </c>
      <c r="K64">
        <f t="shared" si="2"/>
        <v>0</v>
      </c>
      <c r="L64">
        <f t="shared" si="11"/>
        <v>-53</v>
      </c>
      <c r="M64">
        <f t="shared" si="12"/>
        <v>-53</v>
      </c>
      <c r="N64" s="1">
        <f t="shared" si="0"/>
        <v>0</v>
      </c>
      <c r="O64" s="1">
        <f t="shared" si="6"/>
        <v>0</v>
      </c>
      <c r="P64" s="1">
        <f t="shared" si="7"/>
        <v>0</v>
      </c>
      <c r="Q64" s="1">
        <f t="shared" si="5"/>
        <v>0</v>
      </c>
    </row>
    <row r="65" spans="8:17" x14ac:dyDescent="0.25">
      <c r="H65" t="s">
        <v>227</v>
      </c>
      <c r="I65">
        <f t="shared" si="8"/>
        <v>22</v>
      </c>
      <c r="J65" t="str">
        <f>VLOOKUP(Table2[[#This Row],[Month]],MonthLookup!A:B,2,FALSE)</f>
        <v>October</v>
      </c>
      <c r="K65">
        <f t="shared" si="2"/>
        <v>0</v>
      </c>
      <c r="L65">
        <f t="shared" si="11"/>
        <v>-54</v>
      </c>
      <c r="M65">
        <f t="shared" si="12"/>
        <v>-54</v>
      </c>
      <c r="N65" s="1">
        <f t="shared" si="0"/>
        <v>0</v>
      </c>
      <c r="O65" s="1">
        <f t="shared" si="6"/>
        <v>0</v>
      </c>
      <c r="P65" s="1">
        <f t="shared" si="7"/>
        <v>0</v>
      </c>
      <c r="Q65" s="1">
        <f t="shared" si="5"/>
        <v>0</v>
      </c>
    </row>
    <row r="66" spans="8:17" x14ac:dyDescent="0.25">
      <c r="H66" t="s">
        <v>228</v>
      </c>
      <c r="I66">
        <f t="shared" si="8"/>
        <v>22</v>
      </c>
      <c r="J66" t="str">
        <f>VLOOKUP(Table2[[#This Row],[Month]],MonthLookup!A:B,2,FALSE)</f>
        <v>October</v>
      </c>
      <c r="K66">
        <f t="shared" si="2"/>
        <v>0</v>
      </c>
      <c r="L66">
        <f t="shared" si="11"/>
        <v>-55</v>
      </c>
      <c r="M66">
        <f t="shared" si="12"/>
        <v>-55</v>
      </c>
      <c r="N66" s="1">
        <f t="shared" si="0"/>
        <v>0</v>
      </c>
      <c r="O66" s="1">
        <f t="shared" si="6"/>
        <v>0</v>
      </c>
      <c r="P66" s="1">
        <f t="shared" si="7"/>
        <v>0</v>
      </c>
      <c r="Q66" s="1">
        <f t="shared" si="5"/>
        <v>0</v>
      </c>
    </row>
    <row r="67" spans="8:17" x14ac:dyDescent="0.25">
      <c r="H67" t="s">
        <v>229</v>
      </c>
      <c r="I67">
        <f t="shared" si="8"/>
        <v>23</v>
      </c>
      <c r="J67" t="str">
        <f>VLOOKUP(Table2[[#This Row],[Month]],MonthLookup!A:B,2,FALSE)</f>
        <v>November</v>
      </c>
      <c r="K67">
        <f t="shared" si="2"/>
        <v>0</v>
      </c>
      <c r="L67">
        <f t="shared" si="11"/>
        <v>-56</v>
      </c>
      <c r="M67">
        <f t="shared" si="12"/>
        <v>-56</v>
      </c>
      <c r="N67" s="1">
        <f t="shared" si="0"/>
        <v>0</v>
      </c>
      <c r="O67" s="1">
        <f t="shared" si="6"/>
        <v>0</v>
      </c>
      <c r="P67" s="1">
        <f t="shared" si="7"/>
        <v>0</v>
      </c>
      <c r="Q67" s="1">
        <f t="shared" si="5"/>
        <v>0</v>
      </c>
    </row>
    <row r="68" spans="8:17" x14ac:dyDescent="0.25">
      <c r="H68" t="s">
        <v>230</v>
      </c>
      <c r="I68">
        <f t="shared" si="8"/>
        <v>23</v>
      </c>
      <c r="J68" t="str">
        <f>VLOOKUP(Table2[[#This Row],[Month]],MonthLookup!A:B,2,FALSE)</f>
        <v>November</v>
      </c>
      <c r="K68">
        <f t="shared" ref="K68:K69" si="13">IF(NOT(K67=0),K67-1,0)</f>
        <v>0</v>
      </c>
      <c r="L68">
        <f t="shared" ref="L68:L83" si="14">IF(K68=0,L67-1,$L$1)</f>
        <v>-57</v>
      </c>
      <c r="M68">
        <f t="shared" ref="M68:M83" si="15">IF(L68&lt;=0,M67-1,$M$1)</f>
        <v>-57</v>
      </c>
      <c r="N68" s="1">
        <f t="shared" ref="N68:N82" si="16">IF(K68&gt;0,$E$3,0)</f>
        <v>0</v>
      </c>
      <c r="O68" s="1">
        <f t="shared" ref="O68:O82" si="17">IF(AND(L68&gt;0,NOT(L68=L67)),$E$4,0)</f>
        <v>0</v>
      </c>
      <c r="P68" s="1">
        <f t="shared" ref="P68:P82" si="18">IF(AND(M68&gt;0,NOT(M68=M67)),$E$5,0)</f>
        <v>0</v>
      </c>
      <c r="Q68" s="1">
        <f t="shared" ref="Q68:Q82" si="19">SUM(N68:P68)</f>
        <v>0</v>
      </c>
    </row>
    <row r="69" spans="8:17" x14ac:dyDescent="0.25">
      <c r="H69" t="s">
        <v>231</v>
      </c>
      <c r="I69">
        <f t="shared" si="8"/>
        <v>23</v>
      </c>
      <c r="J69" t="str">
        <f>VLOOKUP(Table2[[#This Row],[Month]],MonthLookup!A:B,2,FALSE)</f>
        <v>November</v>
      </c>
      <c r="K69">
        <f t="shared" si="13"/>
        <v>0</v>
      </c>
      <c r="L69">
        <f t="shared" si="14"/>
        <v>-58</v>
      </c>
      <c r="M69">
        <f t="shared" si="15"/>
        <v>-58</v>
      </c>
      <c r="N69" s="1">
        <f t="shared" si="16"/>
        <v>0</v>
      </c>
      <c r="O69" s="1">
        <f t="shared" si="17"/>
        <v>0</v>
      </c>
      <c r="P69" s="1">
        <f t="shared" si="18"/>
        <v>0</v>
      </c>
      <c r="Q69" s="1">
        <f t="shared" si="19"/>
        <v>0</v>
      </c>
    </row>
    <row r="70" spans="8:17" x14ac:dyDescent="0.25">
      <c r="H70" t="s">
        <v>232</v>
      </c>
      <c r="I70">
        <f t="shared" si="8"/>
        <v>23</v>
      </c>
      <c r="J70" t="str">
        <f>VLOOKUP(Table2[[#This Row],[Month]],MonthLookup!A:B,2,FALSE)</f>
        <v>November</v>
      </c>
      <c r="K70">
        <f t="shared" ref="K70:K82" si="20">IF(NOT(K69=0),K69-1,0)</f>
        <v>0</v>
      </c>
      <c r="L70">
        <f t="shared" si="14"/>
        <v>-59</v>
      </c>
      <c r="M70">
        <f t="shared" si="15"/>
        <v>-59</v>
      </c>
      <c r="N70" s="1">
        <f t="shared" si="16"/>
        <v>0</v>
      </c>
      <c r="O70" s="1">
        <f t="shared" si="17"/>
        <v>0</v>
      </c>
      <c r="P70" s="1">
        <f t="shared" si="18"/>
        <v>0</v>
      </c>
      <c r="Q70" s="1">
        <f t="shared" si="19"/>
        <v>0</v>
      </c>
    </row>
    <row r="71" spans="8:17" x14ac:dyDescent="0.25">
      <c r="H71" t="s">
        <v>233</v>
      </c>
      <c r="I71">
        <f t="shared" si="8"/>
        <v>24</v>
      </c>
      <c r="J71" t="str">
        <f>VLOOKUP(Table2[[#This Row],[Month]],MonthLookup!A:B,2,FALSE)</f>
        <v>December</v>
      </c>
      <c r="K71">
        <f t="shared" si="20"/>
        <v>0</v>
      </c>
      <c r="L71">
        <f t="shared" si="14"/>
        <v>-60</v>
      </c>
      <c r="M71">
        <f t="shared" si="15"/>
        <v>-60</v>
      </c>
      <c r="N71" s="1">
        <f t="shared" si="16"/>
        <v>0</v>
      </c>
      <c r="O71" s="1">
        <f t="shared" si="17"/>
        <v>0</v>
      </c>
      <c r="P71" s="1">
        <f t="shared" si="18"/>
        <v>0</v>
      </c>
      <c r="Q71" s="1">
        <f t="shared" si="19"/>
        <v>0</v>
      </c>
    </row>
    <row r="72" spans="8:17" x14ac:dyDescent="0.25">
      <c r="H72" t="s">
        <v>234</v>
      </c>
      <c r="I72">
        <f t="shared" ref="I72:I82" si="21">I68+1</f>
        <v>24</v>
      </c>
      <c r="J72" t="str">
        <f>VLOOKUP(Table2[[#This Row],[Month]],MonthLookup!A:B,2,FALSE)</f>
        <v>December</v>
      </c>
      <c r="K72">
        <f t="shared" si="20"/>
        <v>0</v>
      </c>
      <c r="L72">
        <f t="shared" si="14"/>
        <v>-61</v>
      </c>
      <c r="M72">
        <f t="shared" si="15"/>
        <v>-61</v>
      </c>
      <c r="N72" s="1">
        <f t="shared" si="16"/>
        <v>0</v>
      </c>
      <c r="O72" s="1">
        <f t="shared" si="17"/>
        <v>0</v>
      </c>
      <c r="P72" s="1">
        <f t="shared" si="18"/>
        <v>0</v>
      </c>
      <c r="Q72" s="1">
        <f t="shared" si="19"/>
        <v>0</v>
      </c>
    </row>
    <row r="73" spans="8:17" x14ac:dyDescent="0.25">
      <c r="H73" t="s">
        <v>235</v>
      </c>
      <c r="I73">
        <f t="shared" si="21"/>
        <v>24</v>
      </c>
      <c r="J73" t="str">
        <f>VLOOKUP(Table2[[#This Row],[Month]],MonthLookup!A:B,2,FALSE)</f>
        <v>December</v>
      </c>
      <c r="K73">
        <f t="shared" si="20"/>
        <v>0</v>
      </c>
      <c r="L73">
        <f t="shared" si="14"/>
        <v>-62</v>
      </c>
      <c r="M73">
        <f t="shared" si="15"/>
        <v>-62</v>
      </c>
      <c r="N73" s="1">
        <f t="shared" si="16"/>
        <v>0</v>
      </c>
      <c r="O73" s="1">
        <f t="shared" si="17"/>
        <v>0</v>
      </c>
      <c r="P73" s="1">
        <f t="shared" si="18"/>
        <v>0</v>
      </c>
      <c r="Q73" s="1">
        <f t="shared" si="19"/>
        <v>0</v>
      </c>
    </row>
    <row r="74" spans="8:17" x14ac:dyDescent="0.25">
      <c r="H74" t="s">
        <v>236</v>
      </c>
      <c r="I74">
        <f t="shared" si="21"/>
        <v>24</v>
      </c>
      <c r="J74" t="str">
        <f>VLOOKUP(Table2[[#This Row],[Month]],MonthLookup!A:B,2,FALSE)</f>
        <v>December</v>
      </c>
      <c r="K74">
        <f t="shared" si="20"/>
        <v>0</v>
      </c>
      <c r="L74">
        <f t="shared" si="14"/>
        <v>-63</v>
      </c>
      <c r="M74">
        <f t="shared" si="15"/>
        <v>-63</v>
      </c>
      <c r="N74" s="1">
        <f t="shared" si="16"/>
        <v>0</v>
      </c>
      <c r="O74" s="1">
        <f t="shared" si="17"/>
        <v>0</v>
      </c>
      <c r="P74" s="1">
        <f t="shared" si="18"/>
        <v>0</v>
      </c>
      <c r="Q74" s="1">
        <f t="shared" si="19"/>
        <v>0</v>
      </c>
    </row>
    <row r="75" spans="8:17" x14ac:dyDescent="0.25">
      <c r="H75" t="s">
        <v>237</v>
      </c>
      <c r="I75">
        <f t="shared" si="21"/>
        <v>25</v>
      </c>
      <c r="J75" t="e">
        <f>VLOOKUP(Table2[[#This Row],[Month]],MonthLookup!A:B,2,FALSE)</f>
        <v>#N/A</v>
      </c>
      <c r="K75">
        <f t="shared" si="20"/>
        <v>0</v>
      </c>
      <c r="L75">
        <f t="shared" si="14"/>
        <v>-64</v>
      </c>
      <c r="M75">
        <f t="shared" si="15"/>
        <v>-64</v>
      </c>
      <c r="N75" s="1">
        <f t="shared" si="16"/>
        <v>0</v>
      </c>
      <c r="O75" s="1">
        <f t="shared" si="17"/>
        <v>0</v>
      </c>
      <c r="P75" s="1">
        <f t="shared" si="18"/>
        <v>0</v>
      </c>
      <c r="Q75" s="1">
        <f t="shared" si="19"/>
        <v>0</v>
      </c>
    </row>
    <row r="76" spans="8:17" x14ac:dyDescent="0.25">
      <c r="H76" t="s">
        <v>238</v>
      </c>
      <c r="I76">
        <f t="shared" si="21"/>
        <v>25</v>
      </c>
      <c r="J76" t="e">
        <f>VLOOKUP(Table2[[#This Row],[Month]],MonthLookup!A:B,2,FALSE)</f>
        <v>#N/A</v>
      </c>
      <c r="K76">
        <f t="shared" si="20"/>
        <v>0</v>
      </c>
      <c r="L76">
        <f t="shared" si="14"/>
        <v>-65</v>
      </c>
      <c r="M76">
        <f t="shared" si="15"/>
        <v>-65</v>
      </c>
      <c r="N76" s="1">
        <f t="shared" si="16"/>
        <v>0</v>
      </c>
      <c r="O76" s="1">
        <f t="shared" si="17"/>
        <v>0</v>
      </c>
      <c r="P76" s="1">
        <f t="shared" si="18"/>
        <v>0</v>
      </c>
      <c r="Q76" s="1">
        <f t="shared" si="19"/>
        <v>0</v>
      </c>
    </row>
    <row r="77" spans="8:17" x14ac:dyDescent="0.25">
      <c r="H77" t="s">
        <v>239</v>
      </c>
      <c r="I77">
        <f t="shared" si="21"/>
        <v>25</v>
      </c>
      <c r="J77" t="e">
        <f>VLOOKUP(Table2[[#This Row],[Month]],MonthLookup!A:B,2,FALSE)</f>
        <v>#N/A</v>
      </c>
      <c r="K77">
        <f t="shared" si="20"/>
        <v>0</v>
      </c>
      <c r="L77">
        <f t="shared" si="14"/>
        <v>-66</v>
      </c>
      <c r="M77">
        <f t="shared" si="15"/>
        <v>-66</v>
      </c>
      <c r="N77" s="1">
        <f t="shared" si="16"/>
        <v>0</v>
      </c>
      <c r="O77" s="1">
        <f t="shared" si="17"/>
        <v>0</v>
      </c>
      <c r="P77" s="1">
        <f t="shared" si="18"/>
        <v>0</v>
      </c>
      <c r="Q77" s="1">
        <f t="shared" si="19"/>
        <v>0</v>
      </c>
    </row>
    <row r="78" spans="8:17" x14ac:dyDescent="0.25">
      <c r="H78" t="s">
        <v>240</v>
      </c>
      <c r="I78">
        <f t="shared" si="21"/>
        <v>25</v>
      </c>
      <c r="J78" t="e">
        <f>VLOOKUP(Table2[[#This Row],[Month]],MonthLookup!A:B,2,FALSE)</f>
        <v>#N/A</v>
      </c>
      <c r="K78">
        <f t="shared" si="20"/>
        <v>0</v>
      </c>
      <c r="L78">
        <f t="shared" si="14"/>
        <v>-67</v>
      </c>
      <c r="M78">
        <f t="shared" si="15"/>
        <v>-67</v>
      </c>
      <c r="N78" s="1">
        <f t="shared" si="16"/>
        <v>0</v>
      </c>
      <c r="O78" s="1">
        <f t="shared" si="17"/>
        <v>0</v>
      </c>
      <c r="P78" s="1">
        <f t="shared" si="18"/>
        <v>0</v>
      </c>
      <c r="Q78" s="1">
        <f t="shared" si="19"/>
        <v>0</v>
      </c>
    </row>
    <row r="79" spans="8:17" x14ac:dyDescent="0.25">
      <c r="H79" t="s">
        <v>241</v>
      </c>
      <c r="I79">
        <f t="shared" si="21"/>
        <v>26</v>
      </c>
      <c r="J79" t="e">
        <f>VLOOKUP(Table2[[#This Row],[Month]],MonthLookup!A:B,2,FALSE)</f>
        <v>#N/A</v>
      </c>
      <c r="K79">
        <f t="shared" si="20"/>
        <v>0</v>
      </c>
      <c r="L79">
        <f t="shared" si="14"/>
        <v>-68</v>
      </c>
      <c r="M79">
        <f t="shared" si="15"/>
        <v>-68</v>
      </c>
      <c r="N79" s="1">
        <f t="shared" si="16"/>
        <v>0</v>
      </c>
      <c r="O79" s="1">
        <f t="shared" si="17"/>
        <v>0</v>
      </c>
      <c r="P79" s="1">
        <f t="shared" si="18"/>
        <v>0</v>
      </c>
      <c r="Q79" s="1">
        <f t="shared" si="19"/>
        <v>0</v>
      </c>
    </row>
    <row r="80" spans="8:17" x14ac:dyDescent="0.25">
      <c r="H80" t="s">
        <v>242</v>
      </c>
      <c r="I80">
        <f t="shared" si="21"/>
        <v>26</v>
      </c>
      <c r="J80" t="e">
        <f>VLOOKUP(Table2[[#This Row],[Month]],MonthLookup!A:B,2,FALSE)</f>
        <v>#N/A</v>
      </c>
      <c r="K80">
        <f t="shared" si="20"/>
        <v>0</v>
      </c>
      <c r="L80">
        <f t="shared" si="14"/>
        <v>-69</v>
      </c>
      <c r="M80">
        <f t="shared" si="15"/>
        <v>-69</v>
      </c>
      <c r="N80" s="1">
        <f t="shared" si="16"/>
        <v>0</v>
      </c>
      <c r="O80" s="1">
        <f t="shared" si="17"/>
        <v>0</v>
      </c>
      <c r="P80" s="1">
        <f t="shared" si="18"/>
        <v>0</v>
      </c>
      <c r="Q80" s="1">
        <f t="shared" si="19"/>
        <v>0</v>
      </c>
    </row>
    <row r="81" spans="8:17" x14ac:dyDescent="0.25">
      <c r="H81" t="s">
        <v>243</v>
      </c>
      <c r="I81">
        <f t="shared" si="21"/>
        <v>26</v>
      </c>
      <c r="J81" t="e">
        <f>VLOOKUP(Table2[[#This Row],[Month]],MonthLookup!A:B,2,FALSE)</f>
        <v>#N/A</v>
      </c>
      <c r="K81">
        <f t="shared" si="20"/>
        <v>0</v>
      </c>
      <c r="L81">
        <f t="shared" si="14"/>
        <v>-70</v>
      </c>
      <c r="M81">
        <f t="shared" si="15"/>
        <v>-70</v>
      </c>
      <c r="N81" s="1">
        <f t="shared" si="16"/>
        <v>0</v>
      </c>
      <c r="O81" s="1">
        <f t="shared" si="17"/>
        <v>0</v>
      </c>
      <c r="P81" s="1">
        <f t="shared" si="18"/>
        <v>0</v>
      </c>
      <c r="Q81" s="1">
        <f t="shared" si="19"/>
        <v>0</v>
      </c>
    </row>
    <row r="82" spans="8:17" x14ac:dyDescent="0.25">
      <c r="H82" t="s">
        <v>244</v>
      </c>
      <c r="I82">
        <f t="shared" si="21"/>
        <v>26</v>
      </c>
      <c r="J82" t="e">
        <f>VLOOKUP(Table2[[#This Row],[Month]],MonthLookup!A:B,2,FALSE)</f>
        <v>#N/A</v>
      </c>
      <c r="K82">
        <f t="shared" si="20"/>
        <v>0</v>
      </c>
      <c r="L82">
        <f t="shared" si="14"/>
        <v>-71</v>
      </c>
      <c r="M82">
        <f t="shared" si="15"/>
        <v>-71</v>
      </c>
      <c r="N82" s="1">
        <f t="shared" si="16"/>
        <v>0</v>
      </c>
      <c r="O82" s="1">
        <f t="shared" si="17"/>
        <v>0</v>
      </c>
      <c r="P82" s="1">
        <f t="shared" si="18"/>
        <v>0</v>
      </c>
      <c r="Q82" s="1">
        <f t="shared" si="19"/>
        <v>0</v>
      </c>
    </row>
    <row r="83" spans="8:17" x14ac:dyDescent="0.25">
      <c r="H83" t="s">
        <v>245</v>
      </c>
      <c r="I83">
        <v>90</v>
      </c>
      <c r="J83" t="s">
        <v>246</v>
      </c>
      <c r="K83">
        <f>IF(NOT(K82=0),K82-1,0)</f>
        <v>0</v>
      </c>
      <c r="L83">
        <f t="shared" si="14"/>
        <v>-72</v>
      </c>
      <c r="M83">
        <f t="shared" si="15"/>
        <v>-72</v>
      </c>
      <c r="N83" s="1">
        <f>IF(K83&gt;0,$E$3,0)</f>
        <v>0</v>
      </c>
      <c r="O83" s="1">
        <f>IF(AND(L83&gt;0,NOT(L83=L82)),$E$4,0)</f>
        <v>0</v>
      </c>
      <c r="P83" s="1">
        <f>IF(AND(M83&gt;0,NOT(M83=M82)),$E$5,0)</f>
        <v>0</v>
      </c>
      <c r="Q83" s="1">
        <f>D13</f>
        <v>0</v>
      </c>
    </row>
    <row r="84" spans="8:17" x14ac:dyDescent="0.25">
      <c r="H84" t="s">
        <v>247</v>
      </c>
      <c r="I84">
        <v>91</v>
      </c>
      <c r="J84" t="s">
        <v>248</v>
      </c>
      <c r="K84">
        <f t="shared" ref="K84:K86" si="22">IF(NOT(K83=0),K83-1,0)</f>
        <v>0</v>
      </c>
      <c r="L84">
        <f t="shared" ref="L84:L86" si="23">IF(K84=0,L83-1,$L$1)</f>
        <v>-73</v>
      </c>
      <c r="M84">
        <f t="shared" ref="M84:M86" si="24">IF(L84&lt;=0,M83-1,$M$1)</f>
        <v>-73</v>
      </c>
      <c r="N84" s="1">
        <f t="shared" ref="N84:N86" si="25">IF(K84&gt;0,$E$3,0)</f>
        <v>0</v>
      </c>
      <c r="O84" s="1">
        <f t="shared" ref="O84:O86" si="26">IF(AND(L84&gt;0,NOT(L84=L83)),$E$4,0)</f>
        <v>0</v>
      </c>
      <c r="P84" s="1">
        <f t="shared" ref="P84:P86" si="27">IF(AND(M84&gt;0,NOT(M84=M83)),$E$5,0)</f>
        <v>0</v>
      </c>
      <c r="Q84" s="1">
        <f>D14</f>
        <v>0</v>
      </c>
    </row>
    <row r="85" spans="8:17" x14ac:dyDescent="0.25">
      <c r="H85" t="s">
        <v>249</v>
      </c>
      <c r="I85">
        <v>92</v>
      </c>
      <c r="J85" t="s">
        <v>250</v>
      </c>
      <c r="K85">
        <f t="shared" si="22"/>
        <v>0</v>
      </c>
      <c r="L85">
        <f t="shared" si="23"/>
        <v>-74</v>
      </c>
      <c r="M85">
        <f t="shared" si="24"/>
        <v>-74</v>
      </c>
      <c r="N85" s="1">
        <f t="shared" si="25"/>
        <v>0</v>
      </c>
      <c r="O85" s="1">
        <f t="shared" si="26"/>
        <v>0</v>
      </c>
      <c r="P85" s="1">
        <f t="shared" si="27"/>
        <v>0</v>
      </c>
      <c r="Q85" s="1">
        <f>D15</f>
        <v>0</v>
      </c>
    </row>
    <row r="86" spans="8:17" x14ac:dyDescent="0.25">
      <c r="H86" t="s">
        <v>251</v>
      </c>
      <c r="I86">
        <v>93</v>
      </c>
      <c r="J86" t="s">
        <v>252</v>
      </c>
      <c r="K86">
        <f t="shared" si="22"/>
        <v>0</v>
      </c>
      <c r="L86">
        <f t="shared" si="23"/>
        <v>-75</v>
      </c>
      <c r="M86">
        <f t="shared" si="24"/>
        <v>-75</v>
      </c>
      <c r="N86" s="1">
        <f t="shared" si="25"/>
        <v>0</v>
      </c>
      <c r="O86" s="1">
        <f t="shared" si="26"/>
        <v>0</v>
      </c>
      <c r="P86" s="1">
        <f t="shared" si="27"/>
        <v>0</v>
      </c>
      <c r="Q86" s="1">
        <f>D16</f>
        <v>0</v>
      </c>
    </row>
  </sheetData>
  <pageMargins left="0.7" right="0.7" top="0.75" bottom="0.75" header="0.3" footer="0.3"/>
  <tableParts count="3">
    <tablePart r:id="rId1"/>
    <tablePart r:id="rId2"/>
    <tablePart r:id="rId3"/>
  </tablePart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9"/>
  <sheetViews>
    <sheetView topLeftCell="A4" zoomScale="150" zoomScaleNormal="150" zoomScalePageLayoutView="150" workbookViewId="0">
      <selection activeCell="D11" sqref="D11"/>
    </sheetView>
  </sheetViews>
  <sheetFormatPr defaultColWidth="8.85546875" defaultRowHeight="15" x14ac:dyDescent="0.25"/>
  <cols>
    <col min="1" max="1" width="6.85546875" customWidth="1"/>
    <col min="2" max="2" width="15.7109375" style="44" customWidth="1"/>
    <col min="3" max="3" width="10.28515625" style="4" customWidth="1"/>
    <col min="4" max="4" width="10.85546875" style="4" customWidth="1"/>
    <col min="5" max="5" width="19.7109375" style="4" bestFit="1" customWidth="1"/>
    <col min="6" max="6" width="63.85546875" bestFit="1" customWidth="1"/>
    <col min="7" max="7" width="10.85546875" bestFit="1" customWidth="1"/>
  </cols>
  <sheetData>
    <row r="1" spans="1:7" ht="30" customHeight="1" thickTop="1" x14ac:dyDescent="0.25">
      <c r="A1" s="195" t="s">
        <v>253</v>
      </c>
      <c r="B1" s="196"/>
      <c r="C1" s="196"/>
      <c r="D1" s="196"/>
      <c r="E1" s="196"/>
      <c r="F1" s="196"/>
      <c r="G1" s="197"/>
    </row>
    <row r="2" spans="1:7" ht="15.75" thickBot="1" x14ac:dyDescent="0.3">
      <c r="A2" s="48" t="s">
        <v>254</v>
      </c>
      <c r="B2" s="49" t="s">
        <v>255</v>
      </c>
      <c r="C2" s="49" t="s">
        <v>256</v>
      </c>
      <c r="D2" s="49" t="s">
        <v>257</v>
      </c>
      <c r="E2" s="49" t="s">
        <v>258</v>
      </c>
      <c r="F2" s="49" t="s">
        <v>259</v>
      </c>
      <c r="G2" s="50" t="s">
        <v>260</v>
      </c>
    </row>
    <row r="3" spans="1:7" ht="15.75" thickTop="1" x14ac:dyDescent="0.25">
      <c r="A3" s="20" t="s">
        <v>85</v>
      </c>
      <c r="B3" s="40">
        <v>150</v>
      </c>
      <c r="C3" s="36">
        <v>0.15</v>
      </c>
      <c r="D3" s="36"/>
      <c r="E3" s="36" t="s">
        <v>118</v>
      </c>
      <c r="F3" s="21" t="s">
        <v>261</v>
      </c>
      <c r="G3" s="22" t="s">
        <v>262</v>
      </c>
    </row>
    <row r="4" spans="1:7" x14ac:dyDescent="0.25">
      <c r="A4" s="23" t="s">
        <v>62</v>
      </c>
      <c r="B4" s="41">
        <v>150</v>
      </c>
      <c r="C4" s="37">
        <v>0.15</v>
      </c>
      <c r="D4" s="37"/>
      <c r="E4" s="37" t="s">
        <v>117</v>
      </c>
      <c r="F4" s="24" t="s">
        <v>263</v>
      </c>
      <c r="G4" s="25" t="s">
        <v>264</v>
      </c>
    </row>
    <row r="5" spans="1:7" x14ac:dyDescent="0.25">
      <c r="A5" s="23" t="s">
        <v>265</v>
      </c>
      <c r="B5" s="41">
        <v>150</v>
      </c>
      <c r="C5" s="37">
        <v>0.15</v>
      </c>
      <c r="D5" s="37"/>
      <c r="E5" s="37" t="s">
        <v>266</v>
      </c>
      <c r="F5" s="24" t="s">
        <v>267</v>
      </c>
      <c r="G5" s="25" t="s">
        <v>268</v>
      </c>
    </row>
    <row r="6" spans="1:7" x14ac:dyDescent="0.25">
      <c r="A6" s="23" t="s">
        <v>65</v>
      </c>
      <c r="B6" s="41">
        <v>150</v>
      </c>
      <c r="C6" s="37">
        <v>0.15</v>
      </c>
      <c r="D6" s="37"/>
      <c r="E6" s="37" t="s">
        <v>119</v>
      </c>
      <c r="F6" s="24" t="s">
        <v>269</v>
      </c>
      <c r="G6" s="25" t="s">
        <v>270</v>
      </c>
    </row>
    <row r="7" spans="1:7" x14ac:dyDescent="0.25">
      <c r="A7" s="23" t="s">
        <v>271</v>
      </c>
      <c r="B7" s="41">
        <v>175</v>
      </c>
      <c r="C7" s="37">
        <v>0.15</v>
      </c>
      <c r="D7" s="37"/>
      <c r="E7" s="37" t="s">
        <v>272</v>
      </c>
      <c r="F7" s="24" t="s">
        <v>273</v>
      </c>
      <c r="G7" s="25" t="s">
        <v>274</v>
      </c>
    </row>
    <row r="8" spans="1:7" x14ac:dyDescent="0.25">
      <c r="A8" s="23" t="s">
        <v>275</v>
      </c>
      <c r="B8" s="41">
        <v>175</v>
      </c>
      <c r="C8" s="37">
        <v>0.15</v>
      </c>
      <c r="D8" s="37"/>
      <c r="E8" s="37" t="s">
        <v>276</v>
      </c>
      <c r="F8" s="24" t="s">
        <v>277</v>
      </c>
      <c r="G8" s="25" t="s">
        <v>274</v>
      </c>
    </row>
    <row r="9" spans="1:7" x14ac:dyDescent="0.25">
      <c r="A9" s="23" t="s">
        <v>26</v>
      </c>
      <c r="B9" s="42">
        <v>11100</v>
      </c>
      <c r="C9" s="38">
        <v>0</v>
      </c>
      <c r="D9" s="38"/>
      <c r="E9" s="37" t="s">
        <v>120</v>
      </c>
      <c r="F9" s="24" t="s">
        <v>278</v>
      </c>
      <c r="G9" s="25" t="s">
        <v>279</v>
      </c>
    </row>
    <row r="10" spans="1:7" x14ac:dyDescent="0.25">
      <c r="A10" s="23" t="s">
        <v>34</v>
      </c>
      <c r="B10" s="42">
        <v>11075</v>
      </c>
      <c r="C10" s="38">
        <v>0</v>
      </c>
      <c r="D10" s="38"/>
      <c r="E10" s="37" t="s">
        <v>120</v>
      </c>
      <c r="F10" s="24" t="s">
        <v>280</v>
      </c>
      <c r="G10" s="25" t="s">
        <v>279</v>
      </c>
    </row>
    <row r="11" spans="1:7" x14ac:dyDescent="0.25">
      <c r="A11" s="23" t="s">
        <v>70</v>
      </c>
      <c r="B11" s="42">
        <v>150</v>
      </c>
      <c r="C11" s="38">
        <v>0.15</v>
      </c>
      <c r="D11" s="38">
        <v>0.15</v>
      </c>
      <c r="E11" s="37" t="s">
        <v>122</v>
      </c>
      <c r="F11" s="24" t="s">
        <v>281</v>
      </c>
      <c r="G11" s="25" t="s">
        <v>282</v>
      </c>
    </row>
    <row r="12" spans="1:7" x14ac:dyDescent="0.25">
      <c r="A12" s="23" t="s">
        <v>78</v>
      </c>
      <c r="B12" s="42">
        <v>150</v>
      </c>
      <c r="C12" s="38">
        <v>0</v>
      </c>
      <c r="D12" s="38">
        <v>0.2</v>
      </c>
      <c r="E12" s="38" t="s">
        <v>77</v>
      </c>
      <c r="F12" s="24" t="s">
        <v>283</v>
      </c>
      <c r="G12" s="25" t="s">
        <v>284</v>
      </c>
    </row>
    <row r="13" spans="1:7" x14ac:dyDescent="0.25">
      <c r="A13" s="23" t="s">
        <v>72</v>
      </c>
      <c r="B13" s="42">
        <v>150</v>
      </c>
      <c r="C13" s="38">
        <v>0</v>
      </c>
      <c r="D13" s="38">
        <v>0.15</v>
      </c>
      <c r="E13" s="38" t="s">
        <v>121</v>
      </c>
      <c r="F13" s="24" t="s">
        <v>285</v>
      </c>
      <c r="G13" s="25" t="s">
        <v>282</v>
      </c>
    </row>
    <row r="14" spans="1:7" x14ac:dyDescent="0.25">
      <c r="A14" s="23" t="s">
        <v>75</v>
      </c>
      <c r="B14" s="42">
        <v>150</v>
      </c>
      <c r="C14" s="38">
        <v>0</v>
      </c>
      <c r="D14" s="38">
        <v>0.05</v>
      </c>
      <c r="E14" s="38" t="s">
        <v>74</v>
      </c>
      <c r="F14" s="24" t="s">
        <v>286</v>
      </c>
      <c r="G14" s="25" t="s">
        <v>262</v>
      </c>
    </row>
    <row r="15" spans="1:7" x14ac:dyDescent="0.25">
      <c r="A15" s="23" t="s">
        <v>287</v>
      </c>
      <c r="B15" s="41">
        <v>2500</v>
      </c>
      <c r="C15" s="37">
        <v>0</v>
      </c>
      <c r="D15" s="38"/>
      <c r="E15" s="45" t="s">
        <v>120</v>
      </c>
      <c r="F15" s="24" t="s">
        <v>288</v>
      </c>
      <c r="G15" s="25" t="s">
        <v>279</v>
      </c>
    </row>
    <row r="16" spans="1:7" x14ac:dyDescent="0.25">
      <c r="A16" s="23" t="s">
        <v>289</v>
      </c>
      <c r="B16" s="41">
        <v>5000</v>
      </c>
      <c r="C16" s="37">
        <v>0</v>
      </c>
      <c r="D16" s="38"/>
      <c r="E16" s="45" t="s">
        <v>120</v>
      </c>
      <c r="F16" s="24" t="s">
        <v>290</v>
      </c>
      <c r="G16" s="25" t="s">
        <v>279</v>
      </c>
    </row>
    <row r="17" spans="1:7" x14ac:dyDescent="0.25">
      <c r="A17" s="23" t="s">
        <v>291</v>
      </c>
      <c r="B17" s="42">
        <v>5000</v>
      </c>
      <c r="C17" s="37">
        <v>0</v>
      </c>
      <c r="D17" s="38"/>
      <c r="E17" s="45" t="s">
        <v>120</v>
      </c>
      <c r="F17" s="24" t="s">
        <v>292</v>
      </c>
      <c r="G17" s="25" t="s">
        <v>279</v>
      </c>
    </row>
    <row r="18" spans="1:7" ht="15.75" thickBot="1" x14ac:dyDescent="0.3">
      <c r="A18" s="26" t="s">
        <v>293</v>
      </c>
      <c r="B18" s="43">
        <v>150</v>
      </c>
      <c r="C18" s="39">
        <v>0.15</v>
      </c>
      <c r="D18" s="46"/>
      <c r="E18" s="46" t="s">
        <v>69</v>
      </c>
      <c r="F18" s="27" t="s">
        <v>294</v>
      </c>
      <c r="G18" s="28" t="s">
        <v>264</v>
      </c>
    </row>
    <row r="19" spans="1:7" ht="15.75" thickTop="1" x14ac:dyDescent="0.25"/>
  </sheetData>
  <mergeCells count="1">
    <mergeCell ref="A1:G1"/>
  </mergeCells>
  <pageMargins left="0.7" right="0.7" top="0.75" bottom="0.75" header="0.3" footer="0.3"/>
  <pageSetup orientation="portrait" horizontalDpi="4294967292" verticalDpi="4294967292"/>
  <tableParts count="1">
    <tablePart r:id="rId1"/>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Project Estimate</vt:lpstr>
      <vt:lpstr>Summary</vt:lpstr>
      <vt:lpstr>Draw Schedule</vt:lpstr>
      <vt:lpstr>MonthLookup</vt:lpstr>
      <vt:lpstr>Draw Schedule Config</vt:lpstr>
      <vt:lpstr>Configuration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Kevin Kramer</dc:creator>
  <cp:keywords/>
  <dc:description/>
  <cp:lastModifiedBy>Kyle Sanford</cp:lastModifiedBy>
  <cp:revision/>
  <dcterms:created xsi:type="dcterms:W3CDTF">2016-02-21T17:02:00Z</dcterms:created>
  <dcterms:modified xsi:type="dcterms:W3CDTF">2022-06-08T17:48:25Z</dcterms:modified>
  <cp:category/>
  <cp:contentStatus/>
</cp:coreProperties>
</file>